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tabRatio="753" activeTab="0"/>
  </bookViews>
  <sheets>
    <sheet name="Spread" sheetId="1" r:id="rId1"/>
    <sheet name="General Conditions" sheetId="2" r:id="rId2"/>
    <sheet name="Walls and soffits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8A" sheetId="10" r:id="rId10"/>
    <sheet name="9" sheetId="11" r:id="rId11"/>
    <sheet name="9a" sheetId="12" r:id="rId12"/>
    <sheet name="10" sheetId="13" r:id="rId13"/>
    <sheet name="11 &amp; 12" sheetId="14" r:id="rId14"/>
    <sheet name="13 &amp; 14" sheetId="15" r:id="rId15"/>
    <sheet name="15-16" sheetId="16" r:id="rId16"/>
    <sheet name="Alternates" sheetId="17" r:id="rId17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<sst xmlns="http://schemas.openxmlformats.org/spreadsheetml/2006/main" count="2126" uniqueCount="1032">
  <si>
    <t>DESCRIPTION</t>
  </si>
  <si>
    <t>MATERIAL</t>
  </si>
  <si>
    <t>LABOR</t>
  </si>
  <si>
    <t>TOTAL</t>
  </si>
  <si>
    <t>General Conditions</t>
  </si>
  <si>
    <t>Masonry</t>
  </si>
  <si>
    <t>Electrical</t>
  </si>
  <si>
    <t>CODE</t>
  </si>
  <si>
    <t>QUANTITY</t>
  </si>
  <si>
    <t>UNIT</t>
  </si>
  <si>
    <t xml:space="preserve">    EQUIP/SUB</t>
  </si>
  <si>
    <t>Unit</t>
  </si>
  <si>
    <t>Extension</t>
  </si>
  <si>
    <t xml:space="preserve">Unit </t>
  </si>
  <si>
    <t>sf</t>
  </si>
  <si>
    <t>ea</t>
  </si>
  <si>
    <t>lf</t>
  </si>
  <si>
    <t>ls</t>
  </si>
  <si>
    <t>sy</t>
  </si>
  <si>
    <t>CONCRETE WORK</t>
  </si>
  <si>
    <t>MASONRY</t>
  </si>
  <si>
    <t>STRUCT. &amp; MISC. METALS</t>
  </si>
  <si>
    <t>Total Tons:</t>
  </si>
  <si>
    <t>ROUGH CARPENTRY</t>
  </si>
  <si>
    <t>INSULATION</t>
  </si>
  <si>
    <t>SAB insulation</t>
  </si>
  <si>
    <t>CAULKING</t>
  </si>
  <si>
    <t>HOLLOW METAL</t>
  </si>
  <si>
    <t>BUILDING HARDWARE</t>
  </si>
  <si>
    <t>DOOR OPENING SUMMARY</t>
  </si>
  <si>
    <t>Total Door Cost:</t>
  </si>
  <si>
    <t>Total Door Openings:</t>
  </si>
  <si>
    <t>Total Cost Per Opening:</t>
  </si>
  <si>
    <t>DRYWALL AND STUDS</t>
  </si>
  <si>
    <t>tape and spackle</t>
  </si>
  <si>
    <t>DRYWALL &amp; STUD SUMMARY</t>
  </si>
  <si>
    <t>Total Drywall &amp; Stud cost:</t>
  </si>
  <si>
    <t>ACOUSTICAL CEILINGS</t>
  </si>
  <si>
    <t>PAINTING</t>
  </si>
  <si>
    <t>FLOORING</t>
  </si>
  <si>
    <t>Vinyl Tile</t>
  </si>
  <si>
    <t>4" Rubber Base</t>
  </si>
  <si>
    <t>miscellaneous</t>
  </si>
  <si>
    <t>Total Cost per SF:</t>
  </si>
  <si>
    <t>Total Drywall Quantity SF:</t>
  </si>
  <si>
    <t>CERAMIC TILE</t>
  </si>
  <si>
    <t>ROOFING &amp; SHEET METAL</t>
  </si>
  <si>
    <t>incl insul</t>
  </si>
  <si>
    <t>ACCESS DOORS</t>
  </si>
  <si>
    <t>DEMOLITION</t>
  </si>
  <si>
    <t>HM frames</t>
  </si>
  <si>
    <t>HM doors</t>
  </si>
  <si>
    <t>FIRE EXTINGUISHERS</t>
  </si>
  <si>
    <t>tape &amp; spackle ceiling/soffit</t>
  </si>
  <si>
    <t>grout HM frames</t>
  </si>
  <si>
    <t>in-wall blocking millwork</t>
  </si>
  <si>
    <t>CONCRETE REINFORCING</t>
  </si>
  <si>
    <t>CONCRETE FINISHING</t>
  </si>
  <si>
    <t>Concrete Work</t>
  </si>
  <si>
    <t>tn</t>
  </si>
  <si>
    <t>finish sidewalk</t>
  </si>
  <si>
    <t xml:space="preserve">cure </t>
  </si>
  <si>
    <t>form footing</t>
  </si>
  <si>
    <t>face brick</t>
  </si>
  <si>
    <t>By Mason</t>
  </si>
  <si>
    <t>BUILDING EXCAV &amp; FILL</t>
  </si>
  <si>
    <t>granular backfill material</t>
  </si>
  <si>
    <t>fine grade sidewalk</t>
  </si>
  <si>
    <t>cy</t>
  </si>
  <si>
    <t>incl above</t>
  </si>
  <si>
    <t>granular @ SOG</t>
  </si>
  <si>
    <t>pour sidewalks (4000 AE)</t>
  </si>
  <si>
    <t>pour footings (3000 PL)</t>
  </si>
  <si>
    <t>expansion joint SOG</t>
  </si>
  <si>
    <t>incl finish</t>
  </si>
  <si>
    <t>seed &amp; straw</t>
  </si>
  <si>
    <t xml:space="preserve">copings </t>
  </si>
  <si>
    <t>HVAC</t>
  </si>
  <si>
    <t>Building plumbing</t>
  </si>
  <si>
    <t>fx</t>
  </si>
  <si>
    <t xml:space="preserve"> FIRE PROTECTION</t>
  </si>
  <si>
    <t>pit, service &amp; tap</t>
  </si>
  <si>
    <t>wet sprinkler</t>
  </si>
  <si>
    <t xml:space="preserve">PLUMBING </t>
  </si>
  <si>
    <t>Demo Plumbing</t>
  </si>
  <si>
    <t>Building HVAC</t>
  </si>
  <si>
    <t>Demo Building HVAC</t>
  </si>
  <si>
    <t>ELECTRIC</t>
  </si>
  <si>
    <t>service</t>
  </si>
  <si>
    <t>Building electric</t>
  </si>
  <si>
    <t>demo building electric</t>
  </si>
  <si>
    <t>cut &amp; patch asphalt</t>
  </si>
  <si>
    <t>Total Alternate GC-1:</t>
  </si>
  <si>
    <t>exterior windows</t>
  </si>
  <si>
    <t>drywall grid</t>
  </si>
  <si>
    <t>SIGNAGE</t>
  </si>
  <si>
    <t>LANDSCAPING</t>
  </si>
  <si>
    <t>backfill pads</t>
  </si>
  <si>
    <t xml:space="preserve">fine grade SOG </t>
  </si>
  <si>
    <t>perimeter insulation</t>
  </si>
  <si>
    <t>site</t>
  </si>
  <si>
    <t>set anchor bolts</t>
  </si>
  <si>
    <t>FINISH CARPENTRY</t>
  </si>
  <si>
    <t>base cabinet (p. lam)</t>
  </si>
  <si>
    <t>wall cabinet (p. lam.)</t>
  </si>
  <si>
    <t>gutter &amp; DS</t>
  </si>
  <si>
    <t>3000 PL</t>
  </si>
  <si>
    <t>CONCRETE SUMMARY:</t>
  </si>
  <si>
    <t>Total Concrete Quantity:</t>
  </si>
  <si>
    <t>Total Cost Per CY:</t>
  </si>
  <si>
    <t>3-5/8" 20 gage track</t>
  </si>
  <si>
    <t>3-5/8" 20 gage deflection track</t>
  </si>
  <si>
    <t>3-5/8" 20 gage stud</t>
  </si>
  <si>
    <t>7/8" 20 gage furring channel</t>
  </si>
  <si>
    <t>pour pan stairs (4000 PL)</t>
  </si>
  <si>
    <t>finish pan stairs &amp; landings</t>
  </si>
  <si>
    <t>in-wall blocking misc</t>
  </si>
  <si>
    <t>repair exist walls</t>
  </si>
  <si>
    <t>Concrete Reinforcing</t>
  </si>
  <si>
    <t>Metal</t>
  </si>
  <si>
    <t>Signage</t>
  </si>
  <si>
    <t>studwork walls</t>
  </si>
  <si>
    <t>drywall walls</t>
  </si>
  <si>
    <t>studwork soffits &amp; ceilings</t>
  </si>
  <si>
    <t>drywall soffits &amp; ceilings</t>
  </si>
  <si>
    <t>grid or frame ceiling</t>
  </si>
  <si>
    <t>15/16" std grid</t>
  </si>
  <si>
    <t>2 x 4 standard pad</t>
  </si>
  <si>
    <t>Total</t>
  </si>
  <si>
    <t>WATERPROOFING</t>
  </si>
  <si>
    <t>ORNAMENTAL METAL</t>
  </si>
  <si>
    <t>MASONRY RESTORATION</t>
  </si>
  <si>
    <t>WOOD DOORS</t>
  </si>
  <si>
    <t xml:space="preserve">Doors 3' x 7' Solid Core Flush </t>
  </si>
  <si>
    <t>leaf</t>
  </si>
  <si>
    <t>door 3' x 7'</t>
  </si>
  <si>
    <t>frames 3' x 7'</t>
  </si>
  <si>
    <t>Plaster Veneer</t>
  </si>
  <si>
    <t>PLASTER</t>
  </si>
  <si>
    <t>patch misc</t>
  </si>
  <si>
    <t xml:space="preserve">Alum. GLASS AND GLAZING </t>
  </si>
  <si>
    <t>By Alum</t>
  </si>
  <si>
    <t>brick sealant</t>
  </si>
  <si>
    <t>WATER REPELLANT</t>
  </si>
  <si>
    <t>WALL PROTECTION</t>
  </si>
  <si>
    <t>Corner guards</t>
  </si>
  <si>
    <t>End guards</t>
  </si>
  <si>
    <t>VISUAL DISPLAY BOARDS</t>
  </si>
  <si>
    <t xml:space="preserve">remove clean relay brick </t>
  </si>
  <si>
    <t xml:space="preserve">tuck point brick </t>
  </si>
  <si>
    <t>excvav ftg pad 4'x4', 6'x6' x 3' dp</t>
  </si>
  <si>
    <t>excav ftg pad 8'x8' x 5' dp.</t>
  </si>
  <si>
    <t>excav ftg pier at exist 3'x3' x 3' dp.</t>
  </si>
  <si>
    <t>excav ftg pad 8'x8'x3' dp (int)</t>
  </si>
  <si>
    <t>form footing pad templates</t>
  </si>
  <si>
    <t>form brick ledge 6" w x 8" ht</t>
  </si>
  <si>
    <t>form column diamonds</t>
  </si>
  <si>
    <t>pour ftg pads (3000 PL)</t>
  </si>
  <si>
    <t>pour pedistal (4000 PL)</t>
  </si>
  <si>
    <t>drill &amp; epoxy dowels</t>
  </si>
  <si>
    <t>4000 PL Walls &amp; Piers</t>
  </si>
  <si>
    <t>finish SOG 5"</t>
  </si>
  <si>
    <t>incl sog</t>
  </si>
  <si>
    <t>4500 AE Site</t>
  </si>
  <si>
    <t>4500 PL (SOMD)</t>
  </si>
  <si>
    <t>pour SOMD (4500 PL)</t>
  </si>
  <si>
    <t>pour column diamonds (4500 PL)</t>
  </si>
  <si>
    <t>pour SOG (4500 PL)</t>
  </si>
  <si>
    <t>4500 PL SOG</t>
  </si>
  <si>
    <t>roof deck 1-1/2" 22 ga</t>
  </si>
  <si>
    <t>STRUCTURAL STUDS</t>
  </si>
  <si>
    <t>inc. below</t>
  </si>
  <si>
    <t>heavy misc.</t>
  </si>
  <si>
    <t>bridging channel</t>
  </si>
  <si>
    <t>bridging clip</t>
  </si>
  <si>
    <t>6" R-19 insulation</t>
  </si>
  <si>
    <t xml:space="preserve">Structural Stud </t>
  </si>
  <si>
    <t>Exterior sheathing</t>
  </si>
  <si>
    <t>Struct Stud &amp; Sheathing Summary:</t>
  </si>
  <si>
    <t>Total Struct Studs Cost:</t>
  </si>
  <si>
    <t>Total Sheathing SF:</t>
  </si>
  <si>
    <t>Cost/SF:</t>
  </si>
  <si>
    <t>slide clips</t>
  </si>
  <si>
    <t>subcontract</t>
  </si>
  <si>
    <t>equipment</t>
  </si>
  <si>
    <t>Dens Glass Gold</t>
  </si>
  <si>
    <t>rebar (150#/cy)</t>
  </si>
  <si>
    <t xml:space="preserve">Chair Rail </t>
  </si>
  <si>
    <t>3-1/2" sound batt insulation</t>
  </si>
  <si>
    <t>5/8" drywall</t>
  </si>
  <si>
    <t>2-1/2" 20 gage track</t>
  </si>
  <si>
    <t>2-1/2" 20 gage deflection track</t>
  </si>
  <si>
    <t>Base, porcelain tile base</t>
  </si>
  <si>
    <t>frame pair 4' x 7'</t>
  </si>
  <si>
    <t>frames 2'-6" x 7'</t>
  </si>
  <si>
    <t>2" sound attentuation insulation</t>
  </si>
  <si>
    <t>saw cut control joints</t>
  </si>
  <si>
    <t>wash brick</t>
  </si>
  <si>
    <t>display rails (each)</t>
  </si>
  <si>
    <t>roof walk pads, 3' x 4'</t>
  </si>
  <si>
    <t>scuppers</t>
  </si>
  <si>
    <t>roof drains</t>
  </si>
  <si>
    <t>protection board</t>
  </si>
  <si>
    <t>frames 3' x 7' - 1 hr. fire rated</t>
  </si>
  <si>
    <t>1-5/8" stud</t>
  </si>
  <si>
    <t>1-5/8" track</t>
  </si>
  <si>
    <t>2-1/2" 20 gage stud</t>
  </si>
  <si>
    <t>infiltration barrier</t>
  </si>
  <si>
    <t xml:space="preserve">in-wall blocking specialties </t>
  </si>
  <si>
    <t>window sill, aluminum</t>
  </si>
  <si>
    <t>firestopping, 6" x 6"</t>
  </si>
  <si>
    <t>rigid insulation, 2"</t>
  </si>
  <si>
    <t>expansion joint, 3/8"</t>
  </si>
  <si>
    <t>bronze lettering, 7"</t>
  </si>
  <si>
    <t>bronze lettering, 9"</t>
  </si>
  <si>
    <t>bronze emblem</t>
  </si>
  <si>
    <t>rebar (3) - #5 st rebar (220 lf)</t>
  </si>
  <si>
    <t>aggregate #57 (7 cy)</t>
  </si>
  <si>
    <t>aggregate, bank run (12 cy)</t>
  </si>
  <si>
    <t>trench drain, 2'</t>
  </si>
  <si>
    <t>grout gravel fill</t>
  </si>
  <si>
    <t>cf</t>
  </si>
  <si>
    <t>4" perforated drain pipe</t>
  </si>
  <si>
    <t>excavate footing (14 cy)</t>
  </si>
  <si>
    <t>backfill footing (7 cy)</t>
  </si>
  <si>
    <t>Site Excav &amp; Fill</t>
  </si>
  <si>
    <t>Mass Excavation &amp; Fill</t>
  </si>
  <si>
    <t>granular @ sidewalk 4" 304</t>
  </si>
  <si>
    <t xml:space="preserve">expansion joint </t>
  </si>
  <si>
    <t>8" reinforced blk back-up- 1 hr F.R.</t>
  </si>
  <si>
    <t>fl</t>
  </si>
  <si>
    <t xml:space="preserve">stair &amp; railing </t>
  </si>
  <si>
    <t>R-19 Wall insulation w/ FSK</t>
  </si>
  <si>
    <t>incl mason</t>
  </si>
  <si>
    <r>
      <t>masonry joints</t>
    </r>
    <r>
      <rPr>
        <sz val="10"/>
        <color indexed="8"/>
        <rFont val="Arial"/>
        <family val="2"/>
      </rPr>
      <t xml:space="preserve"> (control joints)</t>
    </r>
  </si>
  <si>
    <t>acoustical caulk</t>
  </si>
  <si>
    <t>Aluminum entrances (single)</t>
  </si>
  <si>
    <t>aluminum windows</t>
  </si>
  <si>
    <t>5/8" veneer plaster (imperial)</t>
  </si>
  <si>
    <t>structural design</t>
  </si>
  <si>
    <t>Drain Tile</t>
  </si>
  <si>
    <t>form mow band</t>
  </si>
  <si>
    <t>concrete footing (3000 PSI)</t>
  </si>
  <si>
    <t>pour mow band (4500 AE)</t>
  </si>
  <si>
    <t>flash parapet @ existing building</t>
  </si>
  <si>
    <t>flash parapet @ new building</t>
  </si>
  <si>
    <t>drywall &amp; Plaster</t>
  </si>
  <si>
    <t>ALTERNATE - GC-1</t>
  </si>
  <si>
    <t>Total Concrete Cost W/O Rebar &amp; Finish:</t>
  </si>
  <si>
    <t>Total Concrete Cost w/Rebar &amp; Finish:</t>
  </si>
  <si>
    <t>Wall Tile 4-1/4 x 4-1/4 glazed</t>
  </si>
  <si>
    <t>Bond (based on $,000)</t>
  </si>
  <si>
    <t>excavate curb</t>
  </si>
  <si>
    <t>backfill curb</t>
  </si>
  <si>
    <t>excavate sidewal T/D</t>
  </si>
  <si>
    <t>backfill sidewalk T/D</t>
  </si>
  <si>
    <t>pour Type 6 curb</t>
  </si>
  <si>
    <t>mesh 21 lb (SOG &amp; SOMD)</t>
  </si>
  <si>
    <t>fine grade asphalt paving</t>
  </si>
  <si>
    <t>Pour column</t>
  </si>
  <si>
    <t>Form suspended slab</t>
  </si>
  <si>
    <t>Pour supended slab</t>
  </si>
  <si>
    <t>Form Beam</t>
  </si>
  <si>
    <t>Pour beam</t>
  </si>
  <si>
    <t>Form Stair bottom</t>
  </si>
  <si>
    <t>Excavate footings 1-6 to 4 w</t>
  </si>
  <si>
    <t xml:space="preserve">visqueen 8 mil </t>
  </si>
  <si>
    <t>WOOD TRUSSES</t>
  </si>
  <si>
    <t>EXTERIOR FINISH CARPENTRY</t>
  </si>
  <si>
    <t>rebar (85#/cy)</t>
  </si>
  <si>
    <t>TOILET ACCESSORIES</t>
  </si>
  <si>
    <t>ELEVATOR</t>
  </si>
  <si>
    <t xml:space="preserve"> </t>
  </si>
  <si>
    <t>FIREPROOFING</t>
  </si>
  <si>
    <t>AUTOMATIC DOORS</t>
  </si>
  <si>
    <t>WOOD FLOORING</t>
  </si>
  <si>
    <t>CUBICLE CURTAINS</t>
  </si>
  <si>
    <t>LOUVERS</t>
  </si>
  <si>
    <t>OPERABLE WALL</t>
  </si>
  <si>
    <t>LOCKERS</t>
  </si>
  <si>
    <t>FLAGPOLE</t>
  </si>
  <si>
    <t>FOOD SERVICE EQUIPMENT</t>
  </si>
  <si>
    <t>PROJECTION SCREENS</t>
  </si>
  <si>
    <t>GYM EQUIPMENT</t>
  </si>
  <si>
    <t>SCOREBOARD</t>
  </si>
  <si>
    <t>KILN</t>
  </si>
  <si>
    <t>TELESCOPING STANDS</t>
  </si>
  <si>
    <t>form column recess ( ea)</t>
  </si>
  <si>
    <t>form locker bases</t>
  </si>
  <si>
    <t>pour locker bases</t>
  </si>
  <si>
    <t>Form stair risers</t>
  </si>
  <si>
    <t>Pour stairs</t>
  </si>
  <si>
    <t>Form SOG</t>
  </si>
  <si>
    <t>form footing steps</t>
  </si>
  <si>
    <t>grout base plates</t>
  </si>
  <si>
    <t>set pipe bollards</t>
  </si>
  <si>
    <t>Form walls thk, ht</t>
  </si>
  <si>
    <t>Form column x ht</t>
  </si>
  <si>
    <t>Form pedistal x ht</t>
  </si>
  <si>
    <t>finish stairs tread/riser</t>
  </si>
  <si>
    <t>excavate pipe billards</t>
  </si>
  <si>
    <t>interior ceiling ( ea)</t>
  </si>
  <si>
    <t>wall interior ( ea)</t>
  </si>
  <si>
    <t>wall exterior ( ea)</t>
  </si>
  <si>
    <t>fire caulking</t>
  </si>
  <si>
    <t>EIFS/DEFS caulking</t>
  </si>
  <si>
    <t>Aluminum storefront</t>
  </si>
  <si>
    <t xml:space="preserve">   alum windows,  ( " X  ')</t>
  </si>
  <si>
    <t>automatic door operator (single)</t>
  </si>
  <si>
    <t>wall access doors 16" x 16"</t>
  </si>
  <si>
    <t>ceiling access doors 16" x 16"</t>
  </si>
  <si>
    <t>5/8" moisture resistant green board)</t>
  </si>
  <si>
    <t>5/8" tile backer (durock)</t>
  </si>
  <si>
    <t>5/8" abuse resistant</t>
  </si>
  <si>
    <t>1" shaft liner</t>
  </si>
  <si>
    <t>2-1/2" J-Runner (shaft wall)</t>
  </si>
  <si>
    <t>2-1/2" C-H stud (shaft Wall)</t>
  </si>
  <si>
    <t>C-H Stud &amp; Liner</t>
  </si>
  <si>
    <t>15/16" alum grid</t>
  </si>
  <si>
    <t>2 x 4 reveal edge pad</t>
  </si>
  <si>
    <t>DEFS/EIFS</t>
  </si>
  <si>
    <t>Lath &amp; Plaster</t>
  </si>
  <si>
    <t>Sheet Vinyl</t>
  </si>
  <si>
    <t>Carpet Tile</t>
  </si>
  <si>
    <t xml:space="preserve">Carpet </t>
  </si>
  <si>
    <t>porcelain tile</t>
  </si>
  <si>
    <t>paint wood trim</t>
  </si>
  <si>
    <t>tack boards (' x ')</t>
  </si>
  <si>
    <t>Soffit drywall</t>
  </si>
  <si>
    <t>Ceiling drywall</t>
  </si>
  <si>
    <t>Durarock walls</t>
  </si>
  <si>
    <t>Fire tape</t>
  </si>
  <si>
    <t>Misc clips etc</t>
  </si>
  <si>
    <t>Average cost of masonry - 20.75 per sf of floor area</t>
  </si>
  <si>
    <t>Average cost of roof/sheetmetal = 5.65/sf of floor area</t>
  </si>
  <si>
    <t>ceiling track &amp; curtain</t>
  </si>
  <si>
    <t>4" wall louver</t>
  </si>
  <si>
    <t>bench</t>
  </si>
  <si>
    <t>12" x 12" x 72" Single Tier</t>
  </si>
  <si>
    <t>Soap Disp</t>
  </si>
  <si>
    <t xml:space="preserve">36" Grab Bar </t>
  </si>
  <si>
    <t xml:space="preserve">42" Grab Bar </t>
  </si>
  <si>
    <t>16" x 31" Grab Bar</t>
  </si>
  <si>
    <t xml:space="preserve">12" Grab Bar </t>
  </si>
  <si>
    <t>Sanitary Napkin Disposal</t>
  </si>
  <si>
    <t>16" x 24" Mirror</t>
  </si>
  <si>
    <t>24" x 60" Mirror</t>
  </si>
  <si>
    <t>Shower Curtian &amp; Rod</t>
  </si>
  <si>
    <t>Folding Shower Seat</t>
  </si>
  <si>
    <t>Towel Pin</t>
  </si>
  <si>
    <t>Mop/Broom Holder</t>
  </si>
  <si>
    <t>Diaper Changing Station</t>
  </si>
  <si>
    <t xml:space="preserve">Paper Towel Disp </t>
  </si>
  <si>
    <t xml:space="preserve">Toilet Paper Disp </t>
  </si>
  <si>
    <t>35' ht. exterior halyard</t>
  </si>
  <si>
    <t>Manual 80" x 45"</t>
  </si>
  <si>
    <t>Kiln w/ vent</t>
  </si>
  <si>
    <t>stop</t>
  </si>
  <si>
    <t>hydraulic elevator</t>
  </si>
  <si>
    <t>finish SOMD w/pump</t>
  </si>
  <si>
    <t>Aluminum ships ladder</t>
  </si>
  <si>
    <t>18" x 18" x 60" Double Tier</t>
  </si>
  <si>
    <t>Wall pads</t>
  </si>
  <si>
    <t>Operable Gym Divider</t>
  </si>
  <si>
    <t>Basketball goals elect adj</t>
  </si>
  <si>
    <t>Volleyball sleves</t>
  </si>
  <si>
    <t>Volleyball pole/net/stand</t>
  </si>
  <si>
    <t>Basketball goals fixed</t>
  </si>
  <si>
    <t>automatic door operator (pair)</t>
  </si>
  <si>
    <t>PROJECT NAME:</t>
  </si>
  <si>
    <t>BID DATE:</t>
  </si>
  <si>
    <t>PROJECT ESTIMATE:</t>
  </si>
  <si>
    <t>Plumbing</t>
  </si>
  <si>
    <t xml:space="preserve">    </t>
  </si>
  <si>
    <t>Subtotal</t>
  </si>
  <si>
    <t>Concrete Summary</t>
  </si>
  <si>
    <t>EIFS</t>
  </si>
  <si>
    <t>Drywall Summary</t>
  </si>
  <si>
    <t>inc finish</t>
  </si>
  <si>
    <t>form type 6 curb - each side</t>
  </si>
  <si>
    <t>form sidewalk T/D - face</t>
  </si>
  <si>
    <t>PREHUNG WOOD DOORS</t>
  </si>
  <si>
    <t>inc below</t>
  </si>
  <si>
    <t>inc above</t>
  </si>
  <si>
    <t>Handicap ramp</t>
  </si>
  <si>
    <t>pour dumpster pad</t>
  </si>
  <si>
    <t>Site</t>
  </si>
  <si>
    <t>Building</t>
  </si>
  <si>
    <t>building</t>
  </si>
  <si>
    <t>CAST MARBLE</t>
  </si>
  <si>
    <t>TRANSLUCENT CANOPY SYSTEMS</t>
  </si>
  <si>
    <t>CHUTE</t>
  </si>
  <si>
    <t>Rate</t>
  </si>
  <si>
    <t>Project name:</t>
  </si>
  <si>
    <t>Project duration :</t>
  </si>
  <si>
    <t>Substantial completion:</t>
  </si>
  <si>
    <t>Square footage of project:</t>
  </si>
  <si>
    <t>Item</t>
  </si>
  <si>
    <t>Quan</t>
  </si>
  <si>
    <t>UOM</t>
  </si>
  <si>
    <t>Project manager</t>
  </si>
  <si>
    <t>hr</t>
  </si>
  <si>
    <t>Superintendent</t>
  </si>
  <si>
    <t>Travel: (DAG fleet vehicle)</t>
  </si>
  <si>
    <t>miles</t>
  </si>
  <si>
    <t>Building permit:</t>
  </si>
  <si>
    <t>Tap fees:</t>
  </si>
  <si>
    <t>Surveying</t>
  </si>
  <si>
    <t xml:space="preserve">   Electric</t>
  </si>
  <si>
    <t>mos.</t>
  </si>
  <si>
    <t xml:space="preserve">   Lighting</t>
  </si>
  <si>
    <t xml:space="preserve">   Heating and cooling</t>
  </si>
  <si>
    <t xml:space="preserve">   Ventilation/dust control</t>
  </si>
  <si>
    <t xml:space="preserve">   Internet connectivity</t>
  </si>
  <si>
    <t xml:space="preserve">   Storage sheds</t>
  </si>
  <si>
    <t>lot</t>
  </si>
  <si>
    <t xml:space="preserve">   Street cleaning, wheel washing stations</t>
  </si>
  <si>
    <t xml:space="preserve">   Parking</t>
  </si>
  <si>
    <t xml:space="preserve">   Project identification</t>
  </si>
  <si>
    <t xml:space="preserve">   Barriers - prevent unauthorized entry</t>
  </si>
  <si>
    <t xml:space="preserve">   Security - from theft, coordinate w/owner</t>
  </si>
  <si>
    <t>plan</t>
  </si>
  <si>
    <t xml:space="preserve">   Dust control - positive means (drawn air)</t>
  </si>
  <si>
    <t xml:space="preserve">   Field office</t>
  </si>
  <si>
    <t>Final cleaning</t>
  </si>
  <si>
    <t>Dumpsters (3/month)</t>
  </si>
  <si>
    <t>Safety</t>
  </si>
  <si>
    <t>Misc small tools/expenses</t>
  </si>
  <si>
    <t>Drawing fee</t>
  </si>
  <si>
    <t>Special Inspections</t>
  </si>
  <si>
    <t xml:space="preserve">   Temporary Fire Extinguishers</t>
  </si>
  <si>
    <t>TOTAL OTHERS COST</t>
  </si>
  <si>
    <t>OTHERS:</t>
  </si>
  <si>
    <t>TOAL EXECUTION &amp; CLOSEOUT COST</t>
  </si>
  <si>
    <t>TOTAL TEMPORARY FACILITIES &amp; CONTROLS COSTS</t>
  </si>
  <si>
    <t>TEMPORARY FACILTIES &amp; CONTROLS:</t>
  </si>
  <si>
    <t>EXECUTION &amp; CLOSEOUT:</t>
  </si>
  <si>
    <t>TOTAL QUALITY REQUIREMENTS COSTS</t>
  </si>
  <si>
    <t>QUALITY REQUIREMENTS:</t>
  </si>
  <si>
    <t>TOTAL ADMISTRATIVE REQUIREMENTS COSTS</t>
  </si>
  <si>
    <t>Safety Director</t>
  </si>
  <si>
    <t>hrs</t>
  </si>
  <si>
    <t>TOTAL GENERAL CONDITIONS COSTS</t>
  </si>
  <si>
    <t>ADMINSTRATIVE REQUIREMENTS:</t>
  </si>
  <si>
    <t>PERCENTAGE OF GC TO JOB</t>
  </si>
  <si>
    <t>ESTIMATOR</t>
  </si>
  <si>
    <t>PROJECT</t>
  </si>
  <si>
    <t>SQFT</t>
  </si>
  <si>
    <t>Aluminum canopies</t>
  </si>
  <si>
    <t xml:space="preserve">   Telephone/ Fax</t>
  </si>
  <si>
    <t>Cellphone</t>
  </si>
  <si>
    <t>ESTIMATE:</t>
  </si>
  <si>
    <t>Hours</t>
  </si>
  <si>
    <t>Days</t>
  </si>
  <si>
    <t>Weeks</t>
  </si>
  <si>
    <t>Month</t>
  </si>
  <si>
    <t>Year</t>
  </si>
  <si>
    <t>PROJECT:</t>
  </si>
  <si>
    <t>Total PWR</t>
  </si>
  <si>
    <t>Laborer</t>
  </si>
  <si>
    <t>Carpenter</t>
  </si>
  <si>
    <t>TOTAL CONCRETE:</t>
  </si>
  <si>
    <t>TOTAL BUILDING EXCAVATION &amp; FILL:</t>
  </si>
  <si>
    <t>TOTAL CONCRETE REINFORCING:</t>
  </si>
  <si>
    <t>TOTAL CONCRETE FINISHING:</t>
  </si>
  <si>
    <t>TOTAL MASONRY:</t>
  </si>
  <si>
    <t>TOTAL MASONRY RESTORATION:</t>
  </si>
  <si>
    <t>TOTAL STRUCTURAL STEEL:</t>
  </si>
  <si>
    <t>TOTAL ORNAMENTAL METAL:</t>
  </si>
  <si>
    <t>TOTAL EXPANSION JOINT COVERS:</t>
  </si>
  <si>
    <t>TOTAL ROUGH CARPENTRY:</t>
  </si>
  <si>
    <t>TOTAL WOOD TRUSSES:</t>
  </si>
  <si>
    <t>TOTAL EXTERIOR FINISH CARPENTRY:</t>
  </si>
  <si>
    <t>TOTAL FINISH CARPENTRY:</t>
  </si>
  <si>
    <t>TOTAL CAST MARBLE:</t>
  </si>
  <si>
    <t>TOTAL WATERPROOFING:</t>
  </si>
  <si>
    <t>TOTAL WATER REPLELLANT:</t>
  </si>
  <si>
    <t>TOTAL INSULATION:</t>
  </si>
  <si>
    <t>TOTAL ROOFING &amp; SHEET METAL:</t>
  </si>
  <si>
    <t>TOTAL METAL PANELS:</t>
  </si>
  <si>
    <t>TOTAL EIFS:</t>
  </si>
  <si>
    <t>TOTAL FIREPROOFING:</t>
  </si>
  <si>
    <t>TOTAL CAULKING:</t>
  </si>
  <si>
    <t>TOTAL HOLLOW METAL:</t>
  </si>
  <si>
    <t>TOTAL WOOD DOORS:</t>
  </si>
  <si>
    <t>TOTAL PREHUNG WOOD DOORS:</t>
  </si>
  <si>
    <t>TOTAL BUILDING HARDWARE:</t>
  </si>
  <si>
    <t>TOTAL GLASS &amp; GLAZING:</t>
  </si>
  <si>
    <t>TOTAL AUTOMATIC DOORS:</t>
  </si>
  <si>
    <t>TOTAL OVERHEAD DOORS:</t>
  </si>
  <si>
    <t>OVERHEAD DOORS</t>
  </si>
  <si>
    <t>TOTAL ACCESS DOORS:</t>
  </si>
  <si>
    <t>TOTAL DRYWALL &amp; STUDS:</t>
  </si>
  <si>
    <t>TOTAL STRUCTURAL STUDS:</t>
  </si>
  <si>
    <t>TOTAL ACOUSTICAL CEILINGS:</t>
  </si>
  <si>
    <t>TOTAL PLASTER:</t>
  </si>
  <si>
    <t>TOTAL FLOORING:</t>
  </si>
  <si>
    <t>TOTAL CERAMIC TILE:</t>
  </si>
  <si>
    <t>TOTAL WOOD FLOORING:</t>
  </si>
  <si>
    <t>TOTAL PAINTING:</t>
  </si>
  <si>
    <t>TOTAL TOILET PARTITIONS:</t>
  </si>
  <si>
    <t>TOTAL TOILET ACCESSORIES:</t>
  </si>
  <si>
    <t>TOTAL CHUTE:</t>
  </si>
  <si>
    <t>TOTAL CUBICLE CURTAINS:</t>
  </si>
  <si>
    <t>TOTAL WALL PROTECTION:</t>
  </si>
  <si>
    <t>TOTAL LOUVERS:</t>
  </si>
  <si>
    <t>TOTAL OPERABLE WALL:</t>
  </si>
  <si>
    <t>TOTAL LOCKERS:</t>
  </si>
  <si>
    <t>TOTAL FLAGPOLE:</t>
  </si>
  <si>
    <t>TOTAL SIGNAGE:</t>
  </si>
  <si>
    <t>TOTAL FIRE EXTINGUISHERS:</t>
  </si>
  <si>
    <t>TOTAL CANOPIES:</t>
  </si>
  <si>
    <t>TOTAL VISUAL DISPLAY BOARDS:</t>
  </si>
  <si>
    <t>TOTAL FOOD SERVICE EQUIPMENT:</t>
  </si>
  <si>
    <t>TOTAL PROJECTION SCREENS:</t>
  </si>
  <si>
    <t>TOTAL GYM EQUIPMENT:</t>
  </si>
  <si>
    <t>TOTAL SCOREBOARD:</t>
  </si>
  <si>
    <t>TOTAL KILN:</t>
  </si>
  <si>
    <t>TOTAL TELESCOPING STANDS:</t>
  </si>
  <si>
    <t>TOTAL ELEVATORS:</t>
  </si>
  <si>
    <t>TOTAL FIRE PROTECTION:</t>
  </si>
  <si>
    <t>TOTAL PLUMBING:</t>
  </si>
  <si>
    <t>TOTAL HVAC:</t>
  </si>
  <si>
    <t>TOTAL ELECTRIC:</t>
  </si>
  <si>
    <t>Cold Fluid Applied Waterproofing</t>
  </si>
  <si>
    <t>Firestopping</t>
  </si>
  <si>
    <t>so</t>
  </si>
  <si>
    <t>Overhead Coiling Door</t>
  </si>
  <si>
    <t>Door Hardware</t>
  </si>
  <si>
    <t>Aluminum Door Hardware</t>
  </si>
  <si>
    <t>Stainless Steel Door</t>
  </si>
  <si>
    <t>Sealed Concrete Flooring</t>
  </si>
  <si>
    <t>Epoxy Flooring</t>
  </si>
  <si>
    <t>MINI BLINDS</t>
  </si>
  <si>
    <t>TOTAL MINI BLINDS:</t>
  </si>
  <si>
    <t>Interior Door Signs</t>
  </si>
  <si>
    <t>Cast Plaque Signs</t>
  </si>
  <si>
    <t>Exterior Traffic Signs</t>
  </si>
  <si>
    <t>Fire Extinguisher Cabinet</t>
  </si>
  <si>
    <t>Wall Mounted Bracket</t>
  </si>
  <si>
    <t>Fire Extinguisher</t>
  </si>
  <si>
    <t>Electric Ceiling Mounted Projection Screen</t>
  </si>
  <si>
    <t xml:space="preserve">   Temporary Toilets (2/ month)</t>
  </si>
  <si>
    <t>Epoxy Paint for Masonry Walls</t>
  </si>
  <si>
    <t>$</t>
  </si>
  <si>
    <t>Builder's Risk Insurance (new construction)</t>
  </si>
  <si>
    <t>work</t>
  </si>
  <si>
    <t>calendar</t>
  </si>
  <si>
    <t>Bollards</t>
  </si>
  <si>
    <t>GRANDSTAND &amp; PRESSBOX</t>
  </si>
  <si>
    <t>Grandstand</t>
  </si>
  <si>
    <t>Pressbox</t>
  </si>
  <si>
    <t>TOTAL GRANDSTAND &amp; PRESSBOX:</t>
  </si>
  <si>
    <t>Markerboards (4' x6')</t>
  </si>
  <si>
    <t>Markerboards (4' x 16')</t>
  </si>
  <si>
    <t>72" Stainless Steel Countertop</t>
  </si>
  <si>
    <t>3 Compartment Sink</t>
  </si>
  <si>
    <t>Bun Roll Warmer</t>
  </si>
  <si>
    <t>Roof Hatch</t>
  </si>
  <si>
    <t>Gates</t>
  </si>
  <si>
    <t>form drive thru pad</t>
  </si>
  <si>
    <t>Finish Drivethru</t>
  </si>
  <si>
    <t>Frame perimeter walls</t>
  </si>
  <si>
    <t>sht</t>
  </si>
  <si>
    <t>Interior walls and soffits</t>
  </si>
  <si>
    <t>Roof sheathing</t>
  </si>
  <si>
    <t>Facia</t>
  </si>
  <si>
    <t>Rake outrigger framing</t>
  </si>
  <si>
    <t>Drops at drive thru</t>
  </si>
  <si>
    <t xml:space="preserve">  Frame bottom of drivethru drop</t>
  </si>
  <si>
    <t>Frame curved drop at tellers</t>
  </si>
  <si>
    <t xml:space="preserve">  Frame bottom of curved drop</t>
  </si>
  <si>
    <t>Trusses</t>
  </si>
  <si>
    <t>Girder Trusses</t>
  </si>
  <si>
    <t>Braces and stays</t>
  </si>
  <si>
    <t xml:space="preserve">  Lifts/Equipment</t>
  </si>
  <si>
    <t>Wall</t>
  </si>
  <si>
    <t>Shingles</t>
  </si>
  <si>
    <t>Soffits/rakes etc</t>
  </si>
  <si>
    <t>form sidewalk</t>
  </si>
  <si>
    <t>Form islands</t>
  </si>
  <si>
    <t>Pour islands</t>
  </si>
  <si>
    <t>Wood Frames</t>
  </si>
  <si>
    <t xml:space="preserve">  4-2 x 4 BL</t>
  </si>
  <si>
    <t xml:space="preserve">  8 x 3-4 BL</t>
  </si>
  <si>
    <t xml:space="preserve">  single frame with sidelight</t>
  </si>
  <si>
    <t xml:space="preserve">  Single frame</t>
  </si>
  <si>
    <t>Wood doors</t>
  </si>
  <si>
    <t xml:space="preserve">  Half frame</t>
  </si>
  <si>
    <t>Other insurance</t>
  </si>
  <si>
    <t>Casing at wood door frames</t>
  </si>
  <si>
    <t>Seal brick wall</t>
  </si>
  <si>
    <t>Tube steel supports</t>
  </si>
  <si>
    <t>SS Pipe</t>
  </si>
  <si>
    <t>FRP</t>
  </si>
  <si>
    <t>Fixed shelves</t>
  </si>
  <si>
    <t>PIPE BOLLARD COVERS</t>
  </si>
  <si>
    <t>At drivethru</t>
  </si>
  <si>
    <t>Soil/compaction testing for building pad</t>
  </si>
  <si>
    <t>Additional misc costs</t>
  </si>
  <si>
    <t>METAL WALL PANELS</t>
  </si>
  <si>
    <t>TOILET PARTITIONS</t>
  </si>
  <si>
    <t>Elevator</t>
  </si>
  <si>
    <t xml:space="preserve">   Drinking Water</t>
  </si>
  <si>
    <t>trips</t>
  </si>
  <si>
    <t>Standard Stall</t>
  </si>
  <si>
    <t>ADA Stall</t>
  </si>
  <si>
    <t>Urinal Screen</t>
  </si>
  <si>
    <t xml:space="preserve">   Enclosures - temporary interior partitions (drywall)</t>
  </si>
  <si>
    <t>3 5/8 Soffit track</t>
  </si>
  <si>
    <t>3 5/8 Soffit studs</t>
  </si>
  <si>
    <t>2 1/2 Soffit track</t>
  </si>
  <si>
    <t>2 1/2 Soffit studs</t>
  </si>
  <si>
    <t>Abuse Resistant drywall</t>
  </si>
  <si>
    <t>6" Track</t>
  </si>
  <si>
    <t>6" Stud</t>
  </si>
  <si>
    <t>8" Track</t>
  </si>
  <si>
    <t>8" Stud</t>
  </si>
  <si>
    <t>3 5/8" Tack</t>
  </si>
  <si>
    <t>3 5/8" Stud</t>
  </si>
  <si>
    <t>haul foundation spoils off site</t>
  </si>
  <si>
    <t>Per ton</t>
  </si>
  <si>
    <t xml:space="preserve">frame pair 6' x 7' </t>
  </si>
  <si>
    <t>Handling and breakout per set</t>
  </si>
  <si>
    <t>Handling and spread</t>
  </si>
  <si>
    <t>3/4 PT</t>
  </si>
  <si>
    <t>2x4 PT</t>
  </si>
  <si>
    <t>2x6 PT</t>
  </si>
  <si>
    <t>2x8 PT</t>
  </si>
  <si>
    <t>2x10 PT</t>
  </si>
  <si>
    <t>2x12 PT</t>
  </si>
  <si>
    <t>1x4 PT</t>
  </si>
  <si>
    <t>1x4 Non PT</t>
  </si>
  <si>
    <t>SEALER/EPOXY FLOOR</t>
  </si>
  <si>
    <t>TOTAL Sealer :</t>
  </si>
  <si>
    <t>SF</t>
  </si>
  <si>
    <t>Form Walls</t>
  </si>
  <si>
    <t>Pour walls</t>
  </si>
  <si>
    <r>
      <t>backfill foundation wall (</t>
    </r>
    <r>
      <rPr>
        <b/>
        <sz val="10"/>
        <rFont val="Arial"/>
        <family val="2"/>
      </rPr>
      <t>3' ht)</t>
    </r>
  </si>
  <si>
    <r>
      <t>backfill foundation wall (</t>
    </r>
    <r>
      <rPr>
        <b/>
        <sz val="10"/>
        <rFont val="Arial"/>
        <family val="2"/>
      </rPr>
      <t>3' ht</t>
    </r>
    <r>
      <rPr>
        <sz val="10"/>
        <rFont val="Arial"/>
        <family val="0"/>
      </rPr>
      <t>)</t>
    </r>
  </si>
  <si>
    <t>Mesh 42#</t>
  </si>
  <si>
    <t>finish/rub curb (1.5 sf/lf)</t>
  </si>
  <si>
    <t>Cast Stone</t>
  </si>
  <si>
    <t>Average cost of steel &amp; BJ =11.25 per sf of floor area</t>
  </si>
  <si>
    <t>3/4 Fire T plywood</t>
  </si>
  <si>
    <t>month</t>
  </si>
  <si>
    <t>spray fireproofing per sf floor/ceiling area</t>
  </si>
  <si>
    <t>Sidelights and door lights</t>
  </si>
  <si>
    <t>paint stair &amp; rail</t>
  </si>
  <si>
    <r>
      <rPr>
        <b/>
        <sz val="10"/>
        <rFont val="Arial"/>
        <family val="2"/>
      </rPr>
      <t>9</t>
    </r>
    <r>
      <rPr>
        <sz val="10"/>
        <rFont val="Arial"/>
        <family val="0"/>
      </rPr>
      <t>' high operable partition</t>
    </r>
  </si>
  <si>
    <t>New Fixture Rough to finish</t>
  </si>
  <si>
    <t>General Conditions 6%</t>
  </si>
  <si>
    <t>OH 2%</t>
  </si>
  <si>
    <t>Profit 6%</t>
  </si>
  <si>
    <t>Hoover Place Needs Assessment</t>
  </si>
  <si>
    <t>Item #</t>
  </si>
  <si>
    <t>R&amp;R Trash Enclosure</t>
  </si>
  <si>
    <t xml:space="preserve">  Demoltion</t>
  </si>
  <si>
    <t xml:space="preserve">  New Split-face Block</t>
  </si>
  <si>
    <t xml:space="preserve">  Gates</t>
  </si>
  <si>
    <t>Clear Storm Drains</t>
  </si>
  <si>
    <t>Sanitary Line Repair Allowance</t>
  </si>
  <si>
    <t>Clean Catchbasins</t>
  </si>
  <si>
    <t xml:space="preserve">  Regrade</t>
  </si>
  <si>
    <t xml:space="preserve">  Demolition</t>
  </si>
  <si>
    <t xml:space="preserve">  F/P/F new Slab</t>
  </si>
  <si>
    <t>R&amp;R Concrete Walk</t>
  </si>
  <si>
    <t xml:space="preserve">  F/P/F new Sidewalk</t>
  </si>
  <si>
    <t>R&amp;R crack/uneven sidewalks</t>
  </si>
  <si>
    <t>Prune existing trees</t>
  </si>
  <si>
    <t>Repair Landscaping - Allowance</t>
  </si>
  <si>
    <t>Regrade foundation away from building</t>
  </si>
  <si>
    <t>Extend existing downspouts</t>
  </si>
  <si>
    <t>Add 18" perimeter Gravel at Foundation</t>
  </si>
  <si>
    <t>R&amp;R Benches</t>
  </si>
  <si>
    <t>New Pavillion and Trellis</t>
  </si>
  <si>
    <t>New Flagpole</t>
  </si>
  <si>
    <t>New Site Lighting Posts &amp; fixtures</t>
  </si>
  <si>
    <t>Security Cameras</t>
  </si>
  <si>
    <t>New Metal Loading Dock railing</t>
  </si>
  <si>
    <t>R&amp;R existing Aluminum Fence</t>
  </si>
  <si>
    <t>Building Exterior</t>
  </si>
  <si>
    <t xml:space="preserve">  R&amp;R Sheathing - 20% Allowance</t>
  </si>
  <si>
    <t>R&amp;R 10% ofAlum Fascia wraps/Gutters/Downspouts</t>
  </si>
  <si>
    <t>R&amp;R 15% vinyl Siding</t>
  </si>
  <si>
    <t>R&amp;R Exterior Sheathing - 25% Allowance</t>
  </si>
  <si>
    <t xml:space="preserve">  R&amp;R 25% of Existing wood Framing</t>
  </si>
  <si>
    <t>Power Wash siding</t>
  </si>
  <si>
    <t>Ramp at Existing Sliding doors</t>
  </si>
  <si>
    <t>R&amp;R all wall mounted Light Fixtures</t>
  </si>
  <si>
    <t>16&amp;17</t>
  </si>
  <si>
    <t>R&amp;R Ptac Units</t>
  </si>
  <si>
    <t>Repair Selected areas of Brick Rowlock</t>
  </si>
  <si>
    <t xml:space="preserve">  R&amp;R 3 boards per deck</t>
  </si>
  <si>
    <t xml:space="preserve">  R&amp;R all handrails</t>
  </si>
  <si>
    <t xml:space="preserve">  Re-anchor Existing Balusters</t>
  </si>
  <si>
    <t xml:space="preserve">  R&amp;R Spliced Rim boards - Assume 1 per balcony</t>
  </si>
  <si>
    <t xml:space="preserve">  R&amp;R 1 joist per Balcony</t>
  </si>
  <si>
    <t>Attic</t>
  </si>
  <si>
    <t>Egress Stairs</t>
  </si>
  <si>
    <t xml:space="preserve">  Repair Doors then prep and paint</t>
  </si>
  <si>
    <t>R&amp;R All existing Hardware at Stairs</t>
  </si>
  <si>
    <t>R&amp;R Exterior doors - new Insulated doors</t>
  </si>
  <si>
    <t>Re-attach/Re-anchor existing handrails</t>
  </si>
  <si>
    <t>R&amp;R flooring and base</t>
  </si>
  <si>
    <t>Paint stairwells</t>
  </si>
  <si>
    <t xml:space="preserve">  Patch 25sf of Drywall</t>
  </si>
  <si>
    <t>Common Areas</t>
  </si>
  <si>
    <t>Repair existing walls</t>
  </si>
  <si>
    <t>R&amp;R existing Carpet/Flooring</t>
  </si>
  <si>
    <t>R&amp;R Vinyl Base to 1x4 OG in Corridors</t>
  </si>
  <si>
    <t xml:space="preserve">  New wood Handrail and 1x4 banding</t>
  </si>
  <si>
    <t xml:space="preserve">  Two -tone paint  - above/below handrails</t>
  </si>
  <si>
    <t xml:space="preserve">  New Wall sconces at unit entry doors</t>
  </si>
  <si>
    <t xml:space="preserve">  New can light at unit entry doors</t>
  </si>
  <si>
    <t>Paint all CMU walls</t>
  </si>
  <si>
    <t>Install new 1x6 chairrail in all common areas</t>
  </si>
  <si>
    <t>R&amp;R 20% of ACT</t>
  </si>
  <si>
    <t xml:space="preserve">  R&amp;R 15% od Ceiling Grid</t>
  </si>
  <si>
    <t xml:space="preserve">  Paint all grid</t>
  </si>
  <si>
    <t>Upgrade all lighting to LED lights</t>
  </si>
  <si>
    <t>New Signage</t>
  </si>
  <si>
    <t>Repair moisture damage/Paint</t>
  </si>
  <si>
    <t>R&amp;R all floor finishes</t>
  </si>
  <si>
    <t>Miniblinds at all windows</t>
  </si>
  <si>
    <t>Common Area Doors and Frames</t>
  </si>
  <si>
    <t>R&amp;R 20% of interior doors &amp; hardware</t>
  </si>
  <si>
    <t xml:space="preserve">  Install Rediframes at new openings</t>
  </si>
  <si>
    <t xml:space="preserve">  Prep and paint all inteior doors</t>
  </si>
  <si>
    <t xml:space="preserve">  R&amp;R all existing Door Hardware</t>
  </si>
  <si>
    <t>R&amp;R existing Main Entry and Rear patio doors</t>
  </si>
  <si>
    <t>Install prop-open alarms at exterior doors</t>
  </si>
  <si>
    <t>Unit Entry Doors</t>
  </si>
  <si>
    <t>R&amp;R all door hardware</t>
  </si>
  <si>
    <t>Install combination knocker/peephole</t>
  </si>
  <si>
    <t>First Floor Common Areas</t>
  </si>
  <si>
    <t xml:space="preserve">  Repair finishes</t>
  </si>
  <si>
    <t>Modify/Convert Beauty Salon to Visiting Exam Room</t>
  </si>
  <si>
    <t>Replace Finishes in Managers office</t>
  </si>
  <si>
    <t xml:space="preserve">  R&amp;R rear patio Vestibule doors and Sidelights</t>
  </si>
  <si>
    <t xml:space="preserve">  R&amp;R lighting</t>
  </si>
  <si>
    <t xml:space="preserve">  R&amp;R ceiling Texture/Refinish</t>
  </si>
  <si>
    <t xml:space="preserve">  R&amp;R Ceiling fans</t>
  </si>
  <si>
    <t xml:space="preserve">  Paint window and door casings</t>
  </si>
  <si>
    <t xml:space="preserve">  R&amp;R existing floor</t>
  </si>
  <si>
    <t xml:space="preserve">  R&amp;R all cabinets</t>
  </si>
  <si>
    <t xml:space="preserve">  R&amp;R flooring</t>
  </si>
  <si>
    <t xml:space="preserve">  New ADA compliant sink</t>
  </si>
  <si>
    <t xml:space="preserve">  R&amp;R existing Refrigerator - 25CF sidebyside</t>
  </si>
  <si>
    <t xml:space="preserve">  Install new Garbge disposal</t>
  </si>
  <si>
    <t xml:space="preserve">  Install new microwave/Oven combo unit</t>
  </si>
  <si>
    <t xml:space="preserve">  New lighting</t>
  </si>
  <si>
    <t xml:space="preserve">  New 4" cove base</t>
  </si>
  <si>
    <t xml:space="preserve">  R&amp;R Pantry shelving</t>
  </si>
  <si>
    <t xml:space="preserve">  R&amp;R window sills - Cultured Marble</t>
  </si>
  <si>
    <t xml:space="preserve">  Paint all casings</t>
  </si>
  <si>
    <t>Laundry Room</t>
  </si>
  <si>
    <t xml:space="preserve">  R&amp;R flooring and base</t>
  </si>
  <si>
    <t xml:space="preserve">  R&amp;R ACT and grid</t>
  </si>
  <si>
    <t xml:space="preserve">  New Plam folding counter</t>
  </si>
  <si>
    <t xml:space="preserve">  Remove Laundry sink</t>
  </si>
  <si>
    <t xml:space="preserve">  Power to Vending machine area</t>
  </si>
  <si>
    <t>Restrooms</t>
  </si>
  <si>
    <t xml:space="preserve">  Enlarge entries</t>
  </si>
  <si>
    <t xml:space="preserve">  R&amp;R existing Toilets - low flow</t>
  </si>
  <si>
    <t xml:space="preserve">  R&amp;R TPH, PTH, Waste receptacle, Soap Disp, Robe hooks</t>
  </si>
  <si>
    <t xml:space="preserve">  New Full-width mirror</t>
  </si>
  <si>
    <t xml:space="preserve">  R&amp;R Flooring</t>
  </si>
  <si>
    <t>Apartment Units</t>
  </si>
  <si>
    <t>a.</t>
  </si>
  <si>
    <t>R&amp;R Lighting</t>
  </si>
  <si>
    <t>b.</t>
  </si>
  <si>
    <t>Repair DW - Allownce 20 sf</t>
  </si>
  <si>
    <t>c.</t>
  </si>
  <si>
    <t>R&amp;R appliances</t>
  </si>
  <si>
    <t>d.</t>
  </si>
  <si>
    <t>Repair Ceiling/wall joint - allow 10lf</t>
  </si>
  <si>
    <t>e.</t>
  </si>
  <si>
    <t>R&amp;R door hardware</t>
  </si>
  <si>
    <t>f.</t>
  </si>
  <si>
    <t>R&amp;R doors and frames</t>
  </si>
  <si>
    <t>g.</t>
  </si>
  <si>
    <t>h.</t>
  </si>
  <si>
    <t>Install wood package shelf at entry</t>
  </si>
  <si>
    <t xml:space="preserve">  R&amp;R Entry door and frame</t>
  </si>
  <si>
    <t xml:space="preserve">    Patch wall</t>
  </si>
  <si>
    <t xml:space="preserve">  Reconfigure closet for accessibility</t>
  </si>
  <si>
    <t>Living area</t>
  </si>
  <si>
    <t xml:space="preserve">  R&amp;R carpet - laminated vinyl plank floor</t>
  </si>
  <si>
    <t xml:space="preserve">    Replace 50sf of gypcrete floor</t>
  </si>
  <si>
    <t xml:space="preserve">  R&amp;R window sill with Cultured Marble</t>
  </si>
  <si>
    <t xml:space="preserve">  R&amp;R base - wood OG base</t>
  </si>
  <si>
    <t>Bedroom</t>
  </si>
  <si>
    <t xml:space="preserve">  R&amp;R door and frame</t>
  </si>
  <si>
    <t xml:space="preserve">  R&amp;R carpet</t>
  </si>
  <si>
    <t xml:space="preserve">  Add new ceiling fan/light combo</t>
  </si>
  <si>
    <t xml:space="preserve">  R&amp;R closet shelving</t>
  </si>
  <si>
    <t>Kitchen</t>
  </si>
  <si>
    <t xml:space="preserve">  Reconfigure Kitchen</t>
  </si>
  <si>
    <t xml:space="preserve">  R&amp;R cabinets</t>
  </si>
  <si>
    <t xml:space="preserve">  Install countertop</t>
  </si>
  <si>
    <t xml:space="preserve">  New double bowl sink</t>
  </si>
  <si>
    <t xml:space="preserve">  New Refrigerator/Stove</t>
  </si>
  <si>
    <t xml:space="preserve">  Back splash at stove</t>
  </si>
  <si>
    <t xml:space="preserve">  Hood with fire canisters</t>
  </si>
  <si>
    <t xml:space="preserve">  Garbage Disposal</t>
  </si>
  <si>
    <t xml:space="preserve">  Task Lighting</t>
  </si>
  <si>
    <t xml:space="preserve">  4" Cove Base</t>
  </si>
  <si>
    <t>Bathroom</t>
  </si>
  <si>
    <t xml:space="preserve">  R&amp;R tub and tile surrond</t>
  </si>
  <si>
    <t xml:space="preserve">  Solid blocking for accessories</t>
  </si>
  <si>
    <t xml:space="preserve">  New Toilet</t>
  </si>
  <si>
    <t xml:space="preserve">  New Vanity</t>
  </si>
  <si>
    <t xml:space="preserve">  New custom Medicine Cabinet</t>
  </si>
  <si>
    <t xml:space="preserve">  Ceramic tile floor and base</t>
  </si>
  <si>
    <t xml:space="preserve">  Floor drain</t>
  </si>
  <si>
    <t>R&amp;R all interior door hardware</t>
  </si>
  <si>
    <t>R&amp;R entry door hardware</t>
  </si>
  <si>
    <t>i.</t>
  </si>
  <si>
    <t>o.</t>
  </si>
  <si>
    <t>u.</t>
  </si>
  <si>
    <t>l.</t>
  </si>
  <si>
    <t>q.</t>
  </si>
  <si>
    <t>t.</t>
  </si>
  <si>
    <t>p.</t>
  </si>
  <si>
    <t>Caulk/seal bottom of wall</t>
  </si>
  <si>
    <t>Rem VCT - Replace with Ceramic Tile</t>
  </si>
  <si>
    <t>R&amp;R kitchen floor</t>
  </si>
  <si>
    <t>R&amp;R medicine cabinet - disconnect lights</t>
  </si>
  <si>
    <t>R&amp;R shower head</t>
  </si>
  <si>
    <t>Remove cabinet above rerigerator</t>
  </si>
  <si>
    <t xml:space="preserve">  R&amp;R countertop</t>
  </si>
  <si>
    <t xml:space="preserve">  R&amp;R sink</t>
  </si>
  <si>
    <t>New refrigerator/Stove/hood</t>
  </si>
  <si>
    <t>j.</t>
  </si>
  <si>
    <t>Install grab bars at at tub</t>
  </si>
  <si>
    <t>k.</t>
  </si>
  <si>
    <t>Drywal repair - 40sf Allowance</t>
  </si>
  <si>
    <t>n.</t>
  </si>
  <si>
    <t>R&amp;R Load Center</t>
  </si>
  <si>
    <t>Anti-scald protection</t>
  </si>
  <si>
    <t xml:space="preserve">R&amp;R 50sf Gypcrete </t>
  </si>
  <si>
    <t>Prep/paint all doors</t>
  </si>
  <si>
    <t xml:space="preserve">r. </t>
  </si>
  <si>
    <t>R&amp;R 15% of unit Entry doors</t>
  </si>
  <si>
    <t>s.</t>
  </si>
  <si>
    <t>R&amp;R 40 lf of base per unit</t>
  </si>
  <si>
    <t>Move thermostat</t>
  </si>
  <si>
    <t>Replace toekick at all cabinets</t>
  </si>
  <si>
    <t>Building Security/Access Control</t>
  </si>
  <si>
    <t>Upgraded keyless entry system</t>
  </si>
  <si>
    <t>2&amp;3</t>
  </si>
  <si>
    <t>Automatic entry door system</t>
  </si>
  <si>
    <t>4&amp;5</t>
  </si>
  <si>
    <t>Fire System</t>
  </si>
  <si>
    <t>R&amp;R Sprinkler System</t>
  </si>
  <si>
    <t>R&amp;R Fire Alarm System</t>
  </si>
  <si>
    <t>2,3,4</t>
  </si>
  <si>
    <t>R&amp;R all shut-off Valves</t>
  </si>
  <si>
    <t>R&amp;Rwater boiler and 500 gallon Storage tank</t>
  </si>
  <si>
    <t>8&amp;9</t>
  </si>
  <si>
    <t>Allowance to access Ceiling for new plumbing</t>
  </si>
  <si>
    <t>New vanity fixtures</t>
  </si>
  <si>
    <t>Add Water booster Pump</t>
  </si>
  <si>
    <t xml:space="preserve">  Reconnect Water Softener</t>
  </si>
  <si>
    <t>Install 3" Bacflow Preventer</t>
  </si>
  <si>
    <t>R&amp;R split systems in Units</t>
  </si>
  <si>
    <t>Install new themostat</t>
  </si>
  <si>
    <t>R&amp;R bathroom Exhaust fans</t>
  </si>
  <si>
    <t>Service Common area HVAC systems</t>
  </si>
  <si>
    <t>R&amp;R all interior fixtures with LED type</t>
  </si>
  <si>
    <t>Upgrade Exterior lighting</t>
  </si>
  <si>
    <t xml:space="preserve">  Site</t>
  </si>
  <si>
    <t xml:space="preserve">  Building perimeter</t>
  </si>
  <si>
    <t>Replace all exit signs, etc.</t>
  </si>
  <si>
    <t>Add GFCI receptacles in Kitchens</t>
  </si>
  <si>
    <t>R&amp;R common area light switches</t>
  </si>
  <si>
    <t>Install magnetic hold opens at fire rated assemblies</t>
  </si>
  <si>
    <t>Sawcut SOG</t>
  </si>
  <si>
    <t>#1</t>
  </si>
  <si>
    <t xml:space="preserve">  Footings</t>
  </si>
  <si>
    <t>Split Faced Block at dumpster</t>
  </si>
  <si>
    <t>Allowance</t>
  </si>
  <si>
    <t>R&amp;R 20% of Roof Shingles 140 squares</t>
  </si>
  <si>
    <t>Wood Deck repair - 94 each</t>
  </si>
  <si>
    <t>Owner</t>
  </si>
  <si>
    <t xml:space="preserve">inc </t>
  </si>
  <si>
    <t>Community Kitchen   326 SF</t>
  </si>
  <si>
    <t>HC Living Units   8 units</t>
  </si>
  <si>
    <t>Entry   8</t>
  </si>
  <si>
    <t>Standard Units   136 Units</t>
  </si>
  <si>
    <t>Temp stair climber</t>
  </si>
  <si>
    <t>No Ptacs shown</t>
  </si>
  <si>
    <t>Deleted from drawings</t>
  </si>
  <si>
    <t>Inc in other areas</t>
  </si>
  <si>
    <t>Assume 300+</t>
  </si>
  <si>
    <t>38 new</t>
  </si>
  <si>
    <t>R&amp;R existing wood windows</t>
  </si>
  <si>
    <t>4 existing poles</t>
  </si>
  <si>
    <t>Reconfigure HC Striping and caulk joint</t>
  </si>
  <si>
    <t>85 ea</t>
  </si>
  <si>
    <t>82 ea</t>
  </si>
  <si>
    <t>66 ea</t>
  </si>
  <si>
    <t>Replace</t>
  </si>
  <si>
    <t>Dwgs call for new cabinets</t>
  </si>
  <si>
    <t>Drgs do not call for new load center</t>
  </si>
  <si>
    <t>233 doors</t>
  </si>
  <si>
    <t>2 doors</t>
  </si>
  <si>
    <t>Third floor only</t>
  </si>
  <si>
    <t>Remove Call light indicators</t>
  </si>
  <si>
    <t>Paint all ceilings ( Inc. HC)</t>
  </si>
  <si>
    <t>Paint all walls ( Inc. HC)</t>
  </si>
  <si>
    <t xml:space="preserve">  Mailboxes</t>
  </si>
  <si>
    <t>Notes</t>
  </si>
  <si>
    <t xml:space="preserve">  Paint all common walls</t>
  </si>
  <si>
    <t xml:space="preserve">  Paint all common Ceilings</t>
  </si>
  <si>
    <t xml:space="preserve">  Paint trim</t>
  </si>
  <si>
    <t>Painting Common area</t>
  </si>
  <si>
    <t xml:space="preserve">Demolish Mailroom and Mail Station &amp; Conference </t>
  </si>
  <si>
    <t>Assume 4</t>
  </si>
  <si>
    <t>Dwgs say ETR</t>
  </si>
  <si>
    <t>sq</t>
  </si>
  <si>
    <t>NA</t>
  </si>
  <si>
    <t>DWG</t>
  </si>
  <si>
    <t>Assumed 10 - None Shown</t>
  </si>
  <si>
    <t>Allowance - Not Identified on drawings</t>
  </si>
  <si>
    <t>Dwgs say paint</t>
  </si>
  <si>
    <t>10% = $24,000</t>
  </si>
  <si>
    <t>Adding, not replacing</t>
  </si>
  <si>
    <t xml:space="preserve">  Paint stairs</t>
  </si>
  <si>
    <t>flt</t>
  </si>
  <si>
    <t>Owner to quantify?</t>
  </si>
  <si>
    <t>Paint all other Walls</t>
  </si>
  <si>
    <t>R&amp;R existing wood base with 6" in other area</t>
  </si>
  <si>
    <t>Allowance - $150 each</t>
  </si>
  <si>
    <t>82 total</t>
  </si>
  <si>
    <t>pr</t>
  </si>
  <si>
    <t>Powered Sliders</t>
  </si>
  <si>
    <t>Community Room   2500 sf</t>
  </si>
  <si>
    <t>Assumed 12</t>
  </si>
  <si>
    <t>In above</t>
  </si>
  <si>
    <t>Re-device ALL units</t>
  </si>
  <si>
    <t>inc</t>
  </si>
  <si>
    <t xml:space="preserve">  R&amp;R Cabinets</t>
  </si>
  <si>
    <t>See HVAC below</t>
  </si>
  <si>
    <t>Other flooring</t>
  </si>
  <si>
    <t>Budget</t>
  </si>
  <si>
    <t>jab</t>
  </si>
  <si>
    <t>Clean Yard Catch Basins</t>
  </si>
  <si>
    <t>Grind Existing Sidewalk where trip hazzards occur</t>
  </si>
  <si>
    <t xml:space="preserve">  R&amp;R existing Batt Insulation - 25% Allowance</t>
  </si>
  <si>
    <t>Upgrade Attic insulation to R-38</t>
  </si>
  <si>
    <t>New Walls</t>
  </si>
  <si>
    <t>Unit B ansi A</t>
  </si>
  <si>
    <t>Unit D ansi A</t>
  </si>
  <si>
    <t>Unit B 504</t>
  </si>
  <si>
    <t>Unit C 504</t>
  </si>
  <si>
    <t>Quant</t>
  </si>
  <si>
    <t>Leigth</t>
  </si>
  <si>
    <t>SF both sides</t>
  </si>
  <si>
    <t>Height</t>
  </si>
  <si>
    <t>Soffits</t>
  </si>
  <si>
    <t>Unit B ansi B</t>
  </si>
  <si>
    <t>Unit A ansi B</t>
  </si>
  <si>
    <t>Unit D ansi B</t>
  </si>
  <si>
    <t>Unit C ansi B</t>
  </si>
  <si>
    <t>Uint E ansi B</t>
  </si>
  <si>
    <t>Unit C ansi A</t>
  </si>
  <si>
    <t>Drywall Take off</t>
  </si>
  <si>
    <t>Job:___________________________________</t>
  </si>
  <si>
    <t>lf x 4</t>
  </si>
  <si>
    <t>Track</t>
  </si>
  <si>
    <t>Add 10% waste</t>
  </si>
  <si>
    <t>Studs</t>
  </si>
  <si>
    <t>lf x height</t>
  </si>
  <si>
    <t>Drywall</t>
  </si>
  <si>
    <t>sf x1 or 2</t>
  </si>
  <si>
    <t>Caulk</t>
  </si>
  <si>
    <t>SAB</t>
  </si>
  <si>
    <t>Insulation</t>
  </si>
  <si>
    <t>Wall type</t>
  </si>
  <si>
    <t>LF</t>
  </si>
  <si>
    <t>Wall Height</t>
  </si>
  <si>
    <t>1 1/2"</t>
  </si>
  <si>
    <t>1 1/2" DL</t>
  </si>
  <si>
    <t>2 1/2"</t>
  </si>
  <si>
    <t>2 1/2" DL</t>
  </si>
  <si>
    <t>3 5/8"</t>
  </si>
  <si>
    <t>3 5/8" DL</t>
  </si>
  <si>
    <t>6"</t>
  </si>
  <si>
    <t>6" DL</t>
  </si>
  <si>
    <t xml:space="preserve">CH </t>
  </si>
  <si>
    <t>RC Cha</t>
  </si>
  <si>
    <t>5/8"</t>
  </si>
  <si>
    <t>5/8" Abuse</t>
  </si>
  <si>
    <t>1/2"</t>
  </si>
  <si>
    <t>SWL</t>
  </si>
  <si>
    <t>Cement Brd</t>
  </si>
  <si>
    <t>Acoust</t>
  </si>
  <si>
    <t>2"</t>
  </si>
  <si>
    <t>3"</t>
  </si>
  <si>
    <t>New Studs/Drywall/Soffits</t>
  </si>
  <si>
    <t>Contingency 10%</t>
  </si>
  <si>
    <t>R&amp;R Entry Slab  - Size assumed 680 sf</t>
  </si>
  <si>
    <t>Allownance per drawings</t>
  </si>
  <si>
    <t>Allowance per notes</t>
  </si>
  <si>
    <t>Needs Assessment or Drawings</t>
  </si>
  <si>
    <t>Patched shingles will show</t>
  </si>
  <si>
    <t>Assume same area</t>
  </si>
  <si>
    <t>Not shown - Not feasable</t>
  </si>
  <si>
    <t>Not shown - can't match</t>
  </si>
  <si>
    <t>??</t>
  </si>
  <si>
    <t>R&amp;R All Caulking and Sealants</t>
  </si>
  <si>
    <t>Assume 50 - Not shown</t>
  </si>
  <si>
    <t xml:space="preserve">  Hang door and hardware</t>
  </si>
  <si>
    <t xml:space="preserve">  R&amp;R existing water cooler - combo hi/low</t>
  </si>
  <si>
    <t>Allowance per Notes</t>
  </si>
  <si>
    <t>Replace doorbells at lowered height</t>
  </si>
  <si>
    <t>Inc. above</t>
  </si>
  <si>
    <t>Assumed quantity</t>
  </si>
  <si>
    <r>
      <rPr>
        <b/>
        <sz val="10"/>
        <rFont val="Arial"/>
        <family val="2"/>
      </rPr>
      <t>Over</t>
    </r>
    <r>
      <rPr>
        <sz val="10"/>
        <rFont val="Arial"/>
        <family val="0"/>
      </rPr>
      <t>/Under Budget</t>
    </r>
  </si>
  <si>
    <t>Potential Wholesale deletes</t>
  </si>
  <si>
    <t>With markups &amp; Contingency</t>
  </si>
  <si>
    <t>Assume half</t>
  </si>
  <si>
    <t xml:space="preserve">  New 1x6 chairrail-corridor</t>
  </si>
  <si>
    <t>included next line item</t>
  </si>
  <si>
    <t>Included above</t>
  </si>
  <si>
    <t>Included in above</t>
  </si>
  <si>
    <t>Allowance per Notes- already addressed.</t>
  </si>
  <si>
    <t>Modernization</t>
  </si>
  <si>
    <t>Required??</t>
  </si>
  <si>
    <t>Modified Total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</si>
</sst>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"/>
    <numFmt numFmtId="165" formatCode="&quot;$&quot;#,##0.00"/>
    <numFmt numFmtId="166" formatCode="0.0%"/>
    <numFmt numFmtId="167" formatCode="&quot;$&quot;#,##0"/>
    <numFmt numFmtId="168" formatCode="_(&quot;$&quot;* #,##0_);_(&quot;$&quot;* \(#,##0\);_(&quot;$&quot;* &quot;-&quot;??_);_(@_)"/>
    <numFmt numFmtId="169" formatCode="[$-409]dddd\,\ mmmm\ dd\,\ yyyy"/>
    <numFmt numFmtId="170" formatCode="_(&quot;$&quot;* #,##0.0_);_(&quot;$&quot;* \(#,##0.0\);_(&quot;$&quot;* &quot;-&quot;??_);_(@_)"/>
    <numFmt numFmtId="171" formatCode="0.0"/>
    <numFmt numFmtId="172" formatCode="[$-409]h:mm:ss\ AM/PM"/>
    <numFmt numFmtId="173" formatCode="_(&quot;$&quot;* #,##0.0_);_(&quot;$&quot;* \(#,##0.0\);_(&quot;$&quot;* &quot;-&quot;?_);_(@_)"/>
    <numFmt numFmtId="174" formatCode="[$-409]dddd\,\ mmmm\ d\,\ yyyy"/>
    <numFmt numFmtId="175" formatCode="_(* #,##0.0_);_(* \(#,##0.0\);_(* &quot;-&quot;??_);_(@_)"/>
    <numFmt numFmtId="176" formatCode="_(* #,##0_);_(* \(#,##0\);_(* &quot;-&quot;??_);_(@_)"/>
    <numFmt numFmtId="177" formatCode="&quot;$&quot;#,##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18"/>
      <name val="Arial"/>
      <family val="2"/>
    </font>
    <font>
      <sz val="10"/>
      <color indexed="30"/>
      <name val="Arial"/>
      <family val="2"/>
    </font>
    <font>
      <sz val="10"/>
      <color indexed="4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206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00B0F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/>
      <right style="thin"/>
      <top/>
      <bottom/>
    </border>
    <border>
      <left style="thin"/>
      <right style="thin"/>
      <top style="double"/>
      <bottom style="hair"/>
    </border>
    <border>
      <left style="thin"/>
      <right style="thin"/>
      <top style="hair"/>
      <bottom style="double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double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double"/>
      <right style="thin"/>
      <top style="double"/>
      <bottom style="hair"/>
    </border>
    <border>
      <left style="medium"/>
      <right style="thin"/>
      <top style="double"/>
      <bottom style="hair"/>
    </border>
    <border>
      <left style="double"/>
      <right style="thin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4" xfId="0" applyBorder="1" applyAlignment="1">
      <alignment horizontal="right"/>
    </xf>
    <xf numFmtId="3" fontId="0" fillId="0" borderId="17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0" fillId="0" borderId="15" xfId="0" applyBorder="1" applyAlignment="1">
      <alignment horizontal="left"/>
    </xf>
    <xf numFmtId="0" fontId="4" fillId="0" borderId="13" xfId="0" applyFont="1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/>
    </xf>
    <xf numFmtId="6" fontId="0" fillId="33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6" fontId="0" fillId="0" borderId="13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2" fontId="0" fillId="0" borderId="13" xfId="0" applyNumberFormat="1" applyFill="1" applyBorder="1" applyAlignment="1">
      <alignment/>
    </xf>
    <xf numFmtId="1" fontId="0" fillId="0" borderId="13" xfId="0" applyNumberFormat="1" applyBorder="1" applyAlignment="1">
      <alignment/>
    </xf>
    <xf numFmtId="0" fontId="5" fillId="0" borderId="13" xfId="0" applyFont="1" applyBorder="1" applyAlignment="1">
      <alignment horizontal="right"/>
    </xf>
    <xf numFmtId="6" fontId="0" fillId="33" borderId="14" xfId="0" applyNumberForma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1" fontId="0" fillId="0" borderId="13" xfId="0" applyNumberFormat="1" applyFill="1" applyBorder="1" applyAlignment="1">
      <alignment/>
    </xf>
    <xf numFmtId="167" fontId="5" fillId="33" borderId="13" xfId="0" applyNumberFormat="1" applyFont="1" applyFill="1" applyBorder="1" applyAlignment="1">
      <alignment/>
    </xf>
    <xf numFmtId="6" fontId="5" fillId="0" borderId="13" xfId="0" applyNumberFormat="1" applyFont="1" applyFill="1" applyBorder="1" applyAlignment="1">
      <alignment/>
    </xf>
    <xf numFmtId="0" fontId="5" fillId="0" borderId="15" xfId="0" applyFont="1" applyBorder="1" applyAlignment="1">
      <alignment horizontal="right"/>
    </xf>
    <xf numFmtId="2" fontId="0" fillId="0" borderId="19" xfId="0" applyNumberFormat="1" applyBorder="1" applyAlignment="1">
      <alignment/>
    </xf>
    <xf numFmtId="3" fontId="0" fillId="0" borderId="19" xfId="0" applyNumberFormat="1" applyBorder="1" applyAlignment="1">
      <alignment/>
    </xf>
    <xf numFmtId="6" fontId="5" fillId="0" borderId="15" xfId="0" applyNumberFormat="1" applyFont="1" applyFill="1" applyBorder="1" applyAlignment="1">
      <alignment/>
    </xf>
    <xf numFmtId="0" fontId="0" fillId="0" borderId="15" xfId="0" applyFill="1" applyBorder="1" applyAlignment="1">
      <alignment horizontal="left"/>
    </xf>
    <xf numFmtId="0" fontId="0" fillId="0" borderId="17" xfId="0" applyFill="1" applyBorder="1" applyAlignment="1">
      <alignment/>
    </xf>
    <xf numFmtId="2" fontId="0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0" fillId="0" borderId="15" xfId="0" applyNumberFormat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7" xfId="0" applyFont="1" applyFill="1" applyBorder="1" applyAlignment="1">
      <alignment horizontal="right"/>
    </xf>
    <xf numFmtId="6" fontId="5" fillId="0" borderId="17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165" fontId="5" fillId="0" borderId="13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0" fillId="0" borderId="21" xfId="0" applyNumberFormat="1" applyFill="1" applyBorder="1" applyAlignment="1">
      <alignment/>
    </xf>
    <xf numFmtId="167" fontId="5" fillId="0" borderId="15" xfId="0" applyNumberFormat="1" applyFont="1" applyFill="1" applyBorder="1" applyAlignment="1">
      <alignment/>
    </xf>
    <xf numFmtId="167" fontId="0" fillId="0" borderId="15" xfId="0" applyNumberForma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6" fontId="0" fillId="33" borderId="15" xfId="0" applyNumberFormat="1" applyFill="1" applyBorder="1" applyAlignment="1">
      <alignment/>
    </xf>
    <xf numFmtId="0" fontId="0" fillId="0" borderId="22" xfId="0" applyBorder="1" applyAlignment="1">
      <alignment/>
    </xf>
    <xf numFmtId="2" fontId="0" fillId="0" borderId="22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3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0" fontId="2" fillId="0" borderId="14" xfId="0" applyFont="1" applyBorder="1" applyAlignment="1">
      <alignment horizontal="left"/>
    </xf>
    <xf numFmtId="6" fontId="5" fillId="0" borderId="14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2" fontId="0" fillId="0" borderId="19" xfId="0" applyNumberFormat="1" applyFill="1" applyBorder="1" applyAlignment="1">
      <alignment/>
    </xf>
    <xf numFmtId="2" fontId="0" fillId="0" borderId="23" xfId="0" applyNumberFormat="1" applyBorder="1" applyAlignment="1">
      <alignment/>
    </xf>
    <xf numFmtId="3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3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3" fontId="0" fillId="0" borderId="25" xfId="0" applyNumberFormat="1" applyBorder="1" applyAlignment="1">
      <alignment/>
    </xf>
    <xf numFmtId="2" fontId="5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0" fillId="0" borderId="13" xfId="0" applyNumberFormat="1" applyFill="1" applyBorder="1" applyAlignment="1" quotePrefix="1">
      <alignment/>
    </xf>
    <xf numFmtId="0" fontId="0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2" fontId="0" fillId="0" borderId="15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2" fontId="3" fillId="0" borderId="13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right"/>
    </xf>
    <xf numFmtId="167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 horizontal="right"/>
    </xf>
    <xf numFmtId="165" fontId="0" fillId="0" borderId="13" xfId="0" applyNumberFormat="1" applyFill="1" applyBorder="1" applyAlignment="1">
      <alignment/>
    </xf>
    <xf numFmtId="2" fontId="0" fillId="0" borderId="13" xfId="0" applyNumberFormat="1" applyBorder="1" applyAlignment="1">
      <alignment horizontal="right"/>
    </xf>
    <xf numFmtId="2" fontId="0" fillId="0" borderId="13" xfId="0" applyNumberFormat="1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14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9" xfId="0" applyFill="1" applyBorder="1" applyAlignment="1">
      <alignment/>
    </xf>
    <xf numFmtId="0" fontId="5" fillId="0" borderId="15" xfId="0" applyFont="1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2" fontId="0" fillId="0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14" xfId="0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6" fontId="0" fillId="0" borderId="14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0" fontId="0" fillId="0" borderId="13" xfId="0" applyFont="1" applyBorder="1" applyAlignment="1">
      <alignment horizontal="left"/>
    </xf>
    <xf numFmtId="2" fontId="0" fillId="0" borderId="26" xfId="0" applyNumberFormat="1" applyBorder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4" fillId="0" borderId="13" xfId="0" applyFont="1" applyBorder="1" applyAlignment="1">
      <alignment horizontal="left"/>
    </xf>
    <xf numFmtId="3" fontId="4" fillId="0" borderId="13" xfId="0" applyNumberFormat="1" applyFont="1" applyFill="1" applyBorder="1" applyAlignment="1">
      <alignment/>
    </xf>
    <xf numFmtId="0" fontId="4" fillId="0" borderId="22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2" fontId="0" fillId="34" borderId="13" xfId="0" applyNumberFormat="1" applyFill="1" applyBorder="1" applyAlignment="1">
      <alignment/>
    </xf>
    <xf numFmtId="2" fontId="0" fillId="34" borderId="15" xfId="0" applyNumberForma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2" fontId="0" fillId="0" borderId="20" xfId="0" applyNumberFormat="1" applyFill="1" applyBorder="1" applyAlignment="1">
      <alignment/>
    </xf>
    <xf numFmtId="2" fontId="0" fillId="0" borderId="20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1" fontId="0" fillId="34" borderId="13" xfId="0" applyNumberForma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4" fontId="0" fillId="0" borderId="0" xfId="44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44" fontId="0" fillId="0" borderId="0" xfId="44" applyFont="1" applyFill="1" applyAlignment="1">
      <alignment/>
    </xf>
    <xf numFmtId="0" fontId="0" fillId="0" borderId="0" xfId="0" applyFont="1" applyFill="1" applyBorder="1" applyAlignment="1">
      <alignment horizontal="left"/>
    </xf>
    <xf numFmtId="44" fontId="3" fillId="0" borderId="0" xfId="0" applyNumberFormat="1" applyFont="1" applyFill="1" applyAlignment="1">
      <alignment/>
    </xf>
    <xf numFmtId="2" fontId="0" fillId="0" borderId="27" xfId="0" applyNumberFormat="1" applyFill="1" applyBorder="1" applyAlignment="1">
      <alignment/>
    </xf>
    <xf numFmtId="0" fontId="0" fillId="0" borderId="28" xfId="0" applyFill="1" applyBorder="1" applyAlignment="1">
      <alignment/>
    </xf>
    <xf numFmtId="0" fontId="8" fillId="0" borderId="15" xfId="0" applyFont="1" applyFill="1" applyBorder="1" applyAlignment="1">
      <alignment horizontal="right"/>
    </xf>
    <xf numFmtId="2" fontId="0" fillId="0" borderId="17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0" fillId="0" borderId="20" xfId="0" applyNumberForma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/>
    </xf>
    <xf numFmtId="44" fontId="0" fillId="0" borderId="0" xfId="44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4" fontId="0" fillId="0" borderId="0" xfId="44" applyFont="1" applyFill="1" applyAlignment="1">
      <alignment horizontal="center"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0" fontId="2" fillId="0" borderId="0" xfId="0" applyFont="1" applyAlignment="1">
      <alignment/>
    </xf>
    <xf numFmtId="168" fontId="0" fillId="0" borderId="0" xfId="44" applyNumberFormat="1" applyFont="1" applyAlignment="1">
      <alignment/>
    </xf>
    <xf numFmtId="0" fontId="9" fillId="35" borderId="0" xfId="0" applyFont="1" applyFill="1" applyAlignment="1">
      <alignment horizontal="center"/>
    </xf>
    <xf numFmtId="14" fontId="0" fillId="0" borderId="0" xfId="0" applyNumberFormat="1" applyFont="1" applyFill="1" applyAlignment="1">
      <alignment/>
    </xf>
    <xf numFmtId="37" fontId="0" fillId="0" borderId="0" xfId="44" applyNumberFormat="1" applyFont="1" applyFill="1" applyAlignment="1">
      <alignment/>
    </xf>
    <xf numFmtId="14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Fill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6" xfId="0" applyFont="1" applyFill="1" applyBorder="1" applyAlignment="1">
      <alignment horizontal="left" vertical="center"/>
    </xf>
    <xf numFmtId="168" fontId="0" fillId="0" borderId="16" xfId="44" applyNumberFormat="1" applyFont="1" applyBorder="1" applyAlignment="1">
      <alignment/>
    </xf>
    <xf numFmtId="44" fontId="0" fillId="0" borderId="16" xfId="44" applyNumberFormat="1" applyFont="1" applyBorder="1" applyAlignment="1">
      <alignment/>
    </xf>
    <xf numFmtId="0" fontId="0" fillId="0" borderId="16" xfId="0" applyFont="1" applyFill="1" applyBorder="1" applyAlignment="1">
      <alignment horizontal="left"/>
    </xf>
    <xf numFmtId="37" fontId="0" fillId="0" borderId="16" xfId="0" applyNumberForma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44" fontId="2" fillId="0" borderId="16" xfId="44" applyFont="1" applyFill="1" applyBorder="1" applyAlignment="1">
      <alignment horizontal="center" vertical="center"/>
    </xf>
    <xf numFmtId="44" fontId="2" fillId="0" borderId="16" xfId="44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168" fontId="2" fillId="0" borderId="16" xfId="44" applyNumberFormat="1" applyFont="1" applyBorder="1" applyAlignment="1">
      <alignment/>
    </xf>
    <xf numFmtId="0" fontId="2" fillId="0" borderId="16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16" xfId="0" applyFont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4" fontId="0" fillId="0" borderId="0" xfId="44" applyFont="1" applyFill="1" applyBorder="1" applyAlignment="1">
      <alignment horizontal="center"/>
    </xf>
    <xf numFmtId="9" fontId="0" fillId="0" borderId="16" xfId="59" applyFont="1" applyFill="1" applyBorder="1" applyAlignment="1">
      <alignment horizontal="center"/>
    </xf>
    <xf numFmtId="0" fontId="2" fillId="36" borderId="16" xfId="0" applyFont="1" applyFill="1" applyBorder="1" applyAlignment="1">
      <alignment horizontal="left" vertical="center"/>
    </xf>
    <xf numFmtId="0" fontId="0" fillId="36" borderId="16" xfId="0" applyFill="1" applyBorder="1" applyAlignment="1">
      <alignment/>
    </xf>
    <xf numFmtId="168" fontId="0" fillId="36" borderId="16" xfId="44" applyNumberFormat="1" applyFont="1" applyFill="1" applyBorder="1" applyAlignment="1">
      <alignment/>
    </xf>
    <xf numFmtId="0" fontId="2" fillId="36" borderId="16" xfId="0" applyFont="1" applyFill="1" applyBorder="1" applyAlignment="1">
      <alignment/>
    </xf>
    <xf numFmtId="37" fontId="0" fillId="0" borderId="13" xfId="0" applyNumberForma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37" borderId="16" xfId="0" applyFont="1" applyFill="1" applyBorder="1" applyAlignment="1">
      <alignment horizontal="center"/>
    </xf>
    <xf numFmtId="2" fontId="0" fillId="37" borderId="16" xfId="0" applyNumberFormat="1" applyFill="1" applyBorder="1" applyAlignment="1">
      <alignment/>
    </xf>
    <xf numFmtId="165" fontId="0" fillId="0" borderId="16" xfId="0" applyNumberFormat="1" applyBorder="1" applyAlignment="1">
      <alignment/>
    </xf>
    <xf numFmtId="0" fontId="48" fillId="0" borderId="13" xfId="0" applyFont="1" applyFill="1" applyBorder="1" applyAlignment="1">
      <alignment horizontal="right"/>
    </xf>
    <xf numFmtId="167" fontId="48" fillId="0" borderId="13" xfId="0" applyNumberFormat="1" applyFont="1" applyFill="1" applyBorder="1" applyAlignment="1">
      <alignment/>
    </xf>
    <xf numFmtId="6" fontId="48" fillId="0" borderId="13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3" fontId="48" fillId="0" borderId="13" xfId="0" applyNumberFormat="1" applyFont="1" applyFill="1" applyBorder="1" applyAlignment="1">
      <alignment/>
    </xf>
    <xf numFmtId="0" fontId="48" fillId="0" borderId="13" xfId="0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48" fillId="0" borderId="15" xfId="0" applyFont="1" applyFill="1" applyBorder="1" applyAlignment="1">
      <alignment horizontal="right"/>
    </xf>
    <xf numFmtId="167" fontId="48" fillId="0" borderId="17" xfId="0" applyNumberFormat="1" applyFont="1" applyFill="1" applyBorder="1" applyAlignment="1">
      <alignment/>
    </xf>
    <xf numFmtId="1" fontId="0" fillId="0" borderId="16" xfId="0" applyNumberFormat="1" applyFill="1" applyBorder="1" applyAlignment="1">
      <alignment horizontal="center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168" fontId="0" fillId="0" borderId="16" xfId="44" applyNumberFormat="1" applyFont="1" applyFill="1" applyBorder="1" applyAlignment="1">
      <alignment/>
    </xf>
    <xf numFmtId="168" fontId="0" fillId="0" borderId="0" xfId="44" applyNumberFormat="1" applyFont="1" applyFill="1" applyAlignment="1">
      <alignment/>
    </xf>
    <xf numFmtId="10" fontId="3" fillId="0" borderId="0" xfId="59" applyNumberFormat="1" applyFont="1" applyFill="1" applyAlignment="1">
      <alignment/>
    </xf>
    <xf numFmtId="168" fontId="0" fillId="0" borderId="0" xfId="0" applyNumberFormat="1" applyAlignment="1">
      <alignment/>
    </xf>
    <xf numFmtId="0" fontId="2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168" fontId="0" fillId="0" borderId="16" xfId="44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1" fontId="0" fillId="0" borderId="14" xfId="0" applyNumberFormat="1" applyFill="1" applyBorder="1" applyAlignment="1">
      <alignment/>
    </xf>
    <xf numFmtId="168" fontId="2" fillId="0" borderId="0" xfId="44" applyNumberFormat="1" applyFont="1" applyFill="1" applyAlignment="1">
      <alignment/>
    </xf>
    <xf numFmtId="0" fontId="4" fillId="0" borderId="15" xfId="0" applyFont="1" applyFill="1" applyBorder="1" applyAlignment="1">
      <alignment horizontal="left"/>
    </xf>
    <xf numFmtId="168" fontId="49" fillId="0" borderId="16" xfId="44" applyNumberFormat="1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168" fontId="0" fillId="38" borderId="16" xfId="44" applyNumberFormat="1" applyFont="1" applyFill="1" applyBorder="1" applyAlignment="1">
      <alignment/>
    </xf>
    <xf numFmtId="168" fontId="0" fillId="0" borderId="0" xfId="44" applyNumberFormat="1" applyFont="1" applyFill="1" applyAlignment="1">
      <alignment/>
    </xf>
    <xf numFmtId="0" fontId="0" fillId="16" borderId="13" xfId="0" applyFill="1" applyBorder="1" applyAlignment="1">
      <alignment horizontal="left"/>
    </xf>
    <xf numFmtId="2" fontId="50" fillId="34" borderId="13" xfId="0" applyNumberFormat="1" applyFont="1" applyFill="1" applyBorder="1" applyAlignment="1">
      <alignment/>
    </xf>
    <xf numFmtId="0" fontId="0" fillId="39" borderId="13" xfId="0" applyFill="1" applyBorder="1" applyAlignment="1">
      <alignment horizontal="left"/>
    </xf>
    <xf numFmtId="0" fontId="0" fillId="18" borderId="13" xfId="0" applyFill="1" applyBorder="1" applyAlignment="1">
      <alignment horizontal="left"/>
    </xf>
    <xf numFmtId="0" fontId="0" fillId="14" borderId="13" xfId="0" applyFill="1" applyBorder="1" applyAlignment="1">
      <alignment horizontal="left"/>
    </xf>
    <xf numFmtId="0" fontId="0" fillId="9" borderId="13" xfId="0" applyFill="1" applyBorder="1" applyAlignment="1">
      <alignment horizontal="left"/>
    </xf>
    <xf numFmtId="0" fontId="0" fillId="19" borderId="13" xfId="0" applyFill="1" applyBorder="1" applyAlignment="1">
      <alignment horizontal="left"/>
    </xf>
    <xf numFmtId="0" fontId="0" fillId="40" borderId="13" xfId="0" applyFill="1" applyBorder="1" applyAlignment="1">
      <alignment horizontal="left"/>
    </xf>
    <xf numFmtId="0" fontId="0" fillId="41" borderId="13" xfId="0" applyFill="1" applyBorder="1" applyAlignment="1">
      <alignment horizontal="left"/>
    </xf>
    <xf numFmtId="2" fontId="50" fillId="0" borderId="13" xfId="0" applyNumberFormat="1" applyFont="1" applyBorder="1" applyAlignment="1">
      <alignment/>
    </xf>
    <xf numFmtId="0" fontId="0" fillId="16" borderId="21" xfId="0" applyFill="1" applyBorder="1" applyAlignment="1">
      <alignment/>
    </xf>
    <xf numFmtId="0" fontId="0" fillId="9" borderId="21" xfId="0" applyFill="1" applyBorder="1" applyAlignment="1">
      <alignment/>
    </xf>
    <xf numFmtId="0" fontId="0" fillId="19" borderId="21" xfId="0" applyFill="1" applyBorder="1" applyAlignment="1">
      <alignment/>
    </xf>
    <xf numFmtId="0" fontId="0" fillId="41" borderId="21" xfId="0" applyFill="1" applyBorder="1" applyAlignment="1">
      <alignment/>
    </xf>
    <xf numFmtId="0" fontId="0" fillId="39" borderId="21" xfId="0" applyFill="1" applyBorder="1" applyAlignment="1">
      <alignment/>
    </xf>
    <xf numFmtId="0" fontId="0" fillId="18" borderId="13" xfId="0" applyFill="1" applyBorder="1" applyAlignment="1">
      <alignment/>
    </xf>
    <xf numFmtId="0" fontId="0" fillId="40" borderId="21" xfId="0" applyFill="1" applyBorder="1" applyAlignment="1">
      <alignment/>
    </xf>
    <xf numFmtId="0" fontId="0" fillId="14" borderId="13" xfId="0" applyFill="1" applyBorder="1" applyAlignment="1">
      <alignment/>
    </xf>
    <xf numFmtId="2" fontId="3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0" fillId="16" borderId="13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20" borderId="13" xfId="0" applyFill="1" applyBorder="1" applyAlignment="1">
      <alignment/>
    </xf>
    <xf numFmtId="0" fontId="0" fillId="19" borderId="13" xfId="0" applyFill="1" applyBorder="1" applyAlignment="1">
      <alignment/>
    </xf>
    <xf numFmtId="2" fontId="50" fillId="0" borderId="13" xfId="0" applyNumberFormat="1" applyFont="1" applyFill="1" applyBorder="1" applyAlignment="1">
      <alignment/>
    </xf>
    <xf numFmtId="0" fontId="0" fillId="20" borderId="15" xfId="0" applyFill="1" applyBorder="1" applyAlignment="1">
      <alignment horizontal="left"/>
    </xf>
    <xf numFmtId="1" fontId="0" fillId="0" borderId="16" xfId="0" applyNumberFormat="1" applyBorder="1" applyAlignment="1">
      <alignment/>
    </xf>
    <xf numFmtId="0" fontId="31" fillId="0" borderId="16" xfId="56" applyBorder="1">
      <alignment/>
      <protection/>
    </xf>
    <xf numFmtId="44" fontId="31" fillId="0" borderId="14" xfId="46" applyFont="1" applyBorder="1" applyAlignment="1">
      <alignment/>
    </xf>
    <xf numFmtId="44" fontId="31" fillId="0" borderId="16" xfId="46" applyFont="1" applyBorder="1" applyAlignment="1">
      <alignment/>
    </xf>
    <xf numFmtId="37" fontId="2" fillId="0" borderId="0" xfId="44" applyNumberFormat="1" applyFont="1" applyFill="1" applyAlignment="1">
      <alignment horizontal="right"/>
    </xf>
    <xf numFmtId="0" fontId="0" fillId="0" borderId="2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48" fillId="0" borderId="15" xfId="0" applyFont="1" applyBorder="1" applyAlignment="1">
      <alignment horizontal="right"/>
    </xf>
    <xf numFmtId="6" fontId="48" fillId="0" borderId="15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2" fontId="51" fillId="0" borderId="13" xfId="0" applyNumberFormat="1" applyFont="1" applyFill="1" applyBorder="1" applyAlignment="1">
      <alignment/>
    </xf>
    <xf numFmtId="168" fontId="2" fillId="0" borderId="0" xfId="44" applyNumberFormat="1" applyFont="1" applyFill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3" fontId="0" fillId="0" borderId="0" xfId="0" applyNumberFormat="1" applyFill="1" applyAlignment="1">
      <alignment/>
    </xf>
    <xf numFmtId="0" fontId="0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left"/>
    </xf>
    <xf numFmtId="168" fontId="0" fillId="38" borderId="31" xfId="44" applyNumberFormat="1" applyFont="1" applyFill="1" applyBorder="1" applyAlignment="1">
      <alignment/>
    </xf>
    <xf numFmtId="168" fontId="0" fillId="0" borderId="31" xfId="44" applyNumberFormat="1" applyFont="1" applyFill="1" applyBorder="1" applyAlignment="1">
      <alignment/>
    </xf>
    <xf numFmtId="168" fontId="0" fillId="0" borderId="31" xfId="44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left"/>
    </xf>
    <xf numFmtId="168" fontId="0" fillId="38" borderId="32" xfId="44" applyNumberFormat="1" applyFont="1" applyFill="1" applyBorder="1" applyAlignment="1">
      <alignment/>
    </xf>
    <xf numFmtId="168" fontId="0" fillId="0" borderId="32" xfId="44" applyNumberFormat="1" applyFont="1" applyFill="1" applyBorder="1" applyAlignment="1">
      <alignment/>
    </xf>
    <xf numFmtId="168" fontId="0" fillId="0" borderId="32" xfId="44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left"/>
    </xf>
    <xf numFmtId="168" fontId="0" fillId="38" borderId="33" xfId="44" applyNumberFormat="1" applyFont="1" applyFill="1" applyBorder="1" applyAlignment="1">
      <alignment/>
    </xf>
    <xf numFmtId="168" fontId="0" fillId="0" borderId="33" xfId="44" applyNumberFormat="1" applyFont="1" applyFill="1" applyBorder="1" applyAlignment="1">
      <alignment/>
    </xf>
    <xf numFmtId="168" fontId="0" fillId="0" borderId="33" xfId="44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 horizontal="left" wrapText="1"/>
    </xf>
    <xf numFmtId="0" fontId="0" fillId="0" borderId="33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168" fontId="0" fillId="0" borderId="29" xfId="44" applyNumberFormat="1" applyFont="1" applyFill="1" applyBorder="1" applyAlignment="1">
      <alignment/>
    </xf>
    <xf numFmtId="168" fontId="0" fillId="0" borderId="29" xfId="44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168" fontId="0" fillId="0" borderId="11" xfId="44" applyNumberFormat="1" applyFont="1" applyFill="1" applyBorder="1" applyAlignment="1">
      <alignment/>
    </xf>
    <xf numFmtId="168" fontId="0" fillId="0" borderId="11" xfId="44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31" xfId="0" applyFont="1" applyFill="1" applyBorder="1" applyAlignment="1">
      <alignment horizontal="center" wrapText="1"/>
    </xf>
    <xf numFmtId="168" fontId="0" fillId="0" borderId="34" xfId="44" applyNumberFormat="1" applyFont="1" applyFill="1" applyBorder="1" applyAlignment="1">
      <alignment/>
    </xf>
    <xf numFmtId="168" fontId="0" fillId="0" borderId="34" xfId="44" applyNumberFormat="1" applyFont="1" applyFill="1" applyBorder="1" applyAlignment="1">
      <alignment/>
    </xf>
    <xf numFmtId="0" fontId="0" fillId="0" borderId="34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center" wrapText="1"/>
    </xf>
    <xf numFmtId="0" fontId="0" fillId="0" borderId="36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center" wrapText="1"/>
    </xf>
    <xf numFmtId="0" fontId="0" fillId="0" borderId="37" xfId="0" applyFont="1" applyFill="1" applyBorder="1" applyAlignment="1">
      <alignment horizontal="left"/>
    </xf>
    <xf numFmtId="168" fontId="0" fillId="0" borderId="37" xfId="44" applyNumberFormat="1" applyFont="1" applyFill="1" applyBorder="1" applyAlignment="1">
      <alignment/>
    </xf>
    <xf numFmtId="168" fontId="0" fillId="0" borderId="37" xfId="44" applyNumberFormat="1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168" fontId="0" fillId="38" borderId="34" xfId="44" applyNumberFormat="1" applyFont="1" applyFill="1" applyBorder="1" applyAlignment="1">
      <alignment/>
    </xf>
    <xf numFmtId="0" fontId="0" fillId="37" borderId="33" xfId="0" applyFont="1" applyFill="1" applyBorder="1" applyAlignment="1">
      <alignment horizontal="left"/>
    </xf>
    <xf numFmtId="168" fontId="0" fillId="0" borderId="31" xfId="0" applyNumberFormat="1" applyFont="1" applyFill="1" applyBorder="1" applyAlignment="1">
      <alignment/>
    </xf>
    <xf numFmtId="0" fontId="0" fillId="37" borderId="16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center" wrapText="1"/>
    </xf>
    <xf numFmtId="0" fontId="0" fillId="37" borderId="32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center" wrapText="1"/>
    </xf>
    <xf numFmtId="0" fontId="2" fillId="38" borderId="16" xfId="0" applyFont="1" applyFill="1" applyBorder="1" applyAlignment="1">
      <alignment horizontal="center"/>
    </xf>
    <xf numFmtId="168" fontId="0" fillId="38" borderId="29" xfId="44" applyNumberFormat="1" applyFont="1" applyFill="1" applyBorder="1" applyAlignment="1">
      <alignment/>
    </xf>
    <xf numFmtId="168" fontId="0" fillId="38" borderId="11" xfId="44" applyNumberFormat="1" applyFont="1" applyFill="1" applyBorder="1" applyAlignment="1">
      <alignment/>
    </xf>
    <xf numFmtId="168" fontId="0" fillId="38" borderId="37" xfId="44" applyNumberFormat="1" applyFont="1" applyFill="1" applyBorder="1" applyAlignment="1">
      <alignment/>
    </xf>
    <xf numFmtId="0" fontId="0" fillId="0" borderId="39" xfId="0" applyFont="1" applyFill="1" applyBorder="1" applyAlignment="1">
      <alignment horizontal="left"/>
    </xf>
    <xf numFmtId="168" fontId="0" fillId="38" borderId="39" xfId="44" applyNumberFormat="1" applyFont="1" applyFill="1" applyBorder="1" applyAlignment="1">
      <alignment/>
    </xf>
    <xf numFmtId="168" fontId="0" fillId="0" borderId="39" xfId="44" applyNumberFormat="1" applyFont="1" applyFill="1" applyBorder="1" applyAlignment="1">
      <alignment/>
    </xf>
    <xf numFmtId="168" fontId="0" fillId="0" borderId="39" xfId="44" applyNumberFormat="1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2" fontId="0" fillId="0" borderId="16" xfId="44" applyNumberFormat="1" applyFont="1" applyFill="1" applyBorder="1" applyAlignment="1">
      <alignment/>
    </xf>
    <xf numFmtId="168" fontId="0" fillId="39" borderId="33" xfId="44" applyNumberFormat="1" applyFont="1" applyFill="1" applyBorder="1" applyAlignment="1">
      <alignment/>
    </xf>
    <xf numFmtId="168" fontId="0" fillId="39" borderId="16" xfId="44" applyNumberFormat="1" applyFont="1" applyFill="1" applyBorder="1" applyAlignment="1">
      <alignment/>
    </xf>
    <xf numFmtId="2" fontId="0" fillId="0" borderId="33" xfId="44" applyNumberFormat="1" applyFont="1" applyFill="1" applyBorder="1" applyAlignment="1">
      <alignment/>
    </xf>
    <xf numFmtId="168" fontId="0" fillId="39" borderId="31" xfId="44" applyNumberFormat="1" applyFont="1" applyFill="1" applyBorder="1" applyAlignment="1">
      <alignment/>
    </xf>
    <xf numFmtId="168" fontId="0" fillId="39" borderId="32" xfId="44" applyNumberFormat="1" applyFont="1" applyFill="1" applyBorder="1" applyAlignment="1">
      <alignment/>
    </xf>
    <xf numFmtId="0" fontId="4" fillId="37" borderId="33" xfId="0" applyFont="1" applyFill="1" applyBorder="1" applyAlignment="1">
      <alignment horizontal="left"/>
    </xf>
    <xf numFmtId="0" fontId="4" fillId="37" borderId="31" xfId="0" applyFont="1" applyFill="1" applyBorder="1" applyAlignment="1">
      <alignment horizontal="left"/>
    </xf>
    <xf numFmtId="0" fontId="4" fillId="37" borderId="16" xfId="0" applyFont="1" applyFill="1" applyBorder="1" applyAlignment="1">
      <alignment horizontal="left"/>
    </xf>
    <xf numFmtId="176" fontId="0" fillId="0" borderId="31" xfId="42" applyNumberFormat="1" applyFont="1" applyFill="1" applyBorder="1" applyAlignment="1">
      <alignment/>
    </xf>
    <xf numFmtId="176" fontId="0" fillId="0" borderId="16" xfId="42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8" fontId="0" fillId="38" borderId="10" xfId="44" applyNumberFormat="1" applyFont="1" applyFill="1" applyBorder="1" applyAlignment="1">
      <alignment/>
    </xf>
    <xf numFmtId="168" fontId="0" fillId="0" borderId="10" xfId="44" applyNumberFormat="1" applyFont="1" applyFill="1" applyBorder="1" applyAlignment="1">
      <alignment/>
    </xf>
    <xf numFmtId="168" fontId="0" fillId="0" borderId="10" xfId="44" applyNumberFormat="1" applyFont="1" applyFill="1" applyBorder="1" applyAlignment="1">
      <alignment/>
    </xf>
    <xf numFmtId="0" fontId="0" fillId="0" borderId="29" xfId="0" applyFont="1" applyFill="1" applyBorder="1" applyAlignment="1">
      <alignment horizontal="center" wrapText="1"/>
    </xf>
    <xf numFmtId="1" fontId="0" fillId="0" borderId="29" xfId="44" applyNumberFormat="1" applyFont="1" applyFill="1" applyBorder="1" applyAlignment="1">
      <alignment/>
    </xf>
    <xf numFmtId="1" fontId="0" fillId="0" borderId="16" xfId="44" applyNumberFormat="1" applyFont="1" applyFill="1" applyBorder="1" applyAlignment="1">
      <alignment/>
    </xf>
    <xf numFmtId="1" fontId="0" fillId="0" borderId="32" xfId="44" applyNumberFormat="1" applyFont="1" applyFill="1" applyBorder="1" applyAlignment="1">
      <alignment/>
    </xf>
    <xf numFmtId="1" fontId="0" fillId="0" borderId="33" xfId="44" applyNumberFormat="1" applyFont="1" applyFill="1" applyBorder="1" applyAlignment="1">
      <alignment/>
    </xf>
    <xf numFmtId="1" fontId="0" fillId="0" borderId="31" xfId="44" applyNumberFormat="1" applyFont="1" applyFill="1" applyBorder="1" applyAlignment="1">
      <alignment/>
    </xf>
    <xf numFmtId="1" fontId="0" fillId="0" borderId="11" xfId="44" applyNumberFormat="1" applyFont="1" applyFill="1" applyBorder="1" applyAlignment="1">
      <alignment/>
    </xf>
    <xf numFmtId="1" fontId="0" fillId="0" borderId="34" xfId="44" applyNumberFormat="1" applyFont="1" applyFill="1" applyBorder="1" applyAlignment="1">
      <alignment/>
    </xf>
    <xf numFmtId="1" fontId="0" fillId="0" borderId="37" xfId="44" applyNumberFormat="1" applyFont="1" applyFill="1" applyBorder="1" applyAlignment="1">
      <alignment/>
    </xf>
    <xf numFmtId="1" fontId="0" fillId="0" borderId="10" xfId="44" applyNumberFormat="1" applyFont="1" applyFill="1" applyBorder="1" applyAlignment="1">
      <alignment/>
    </xf>
    <xf numFmtId="1" fontId="0" fillId="0" borderId="39" xfId="44" applyNumberFormat="1" applyFont="1" applyFill="1" applyBorder="1" applyAlignment="1">
      <alignment/>
    </xf>
    <xf numFmtId="1" fontId="0" fillId="0" borderId="31" xfId="42" applyNumberFormat="1" applyFont="1" applyFill="1" applyBorder="1" applyAlignment="1">
      <alignment/>
    </xf>
    <xf numFmtId="1" fontId="0" fillId="0" borderId="16" xfId="42" applyNumberFormat="1" applyFont="1" applyFill="1" applyBorder="1" applyAlignment="1">
      <alignment/>
    </xf>
    <xf numFmtId="0" fontId="0" fillId="0" borderId="40" xfId="0" applyFont="1" applyFill="1" applyBorder="1" applyAlignment="1">
      <alignment horizontal="left"/>
    </xf>
    <xf numFmtId="168" fontId="0" fillId="38" borderId="40" xfId="44" applyNumberFormat="1" applyFont="1" applyFill="1" applyBorder="1" applyAlignment="1">
      <alignment/>
    </xf>
    <xf numFmtId="1" fontId="0" fillId="0" borderId="40" xfId="44" applyNumberFormat="1" applyFont="1" applyFill="1" applyBorder="1" applyAlignment="1">
      <alignment/>
    </xf>
    <xf numFmtId="168" fontId="0" fillId="0" borderId="40" xfId="44" applyNumberFormat="1" applyFont="1" applyFill="1" applyBorder="1" applyAlignment="1">
      <alignment/>
    </xf>
    <xf numFmtId="168" fontId="0" fillId="0" borderId="40" xfId="44" applyNumberFormat="1" applyFont="1" applyFill="1" applyBorder="1" applyAlignment="1">
      <alignment/>
    </xf>
    <xf numFmtId="168" fontId="0" fillId="39" borderId="16" xfId="44" applyNumberFormat="1" applyFont="1" applyFill="1" applyBorder="1" applyAlignment="1">
      <alignment/>
    </xf>
    <xf numFmtId="168" fontId="0" fillId="0" borderId="41" xfId="44" applyNumberFormat="1" applyFont="1" applyFill="1" applyBorder="1" applyAlignment="1">
      <alignment/>
    </xf>
    <xf numFmtId="168" fontId="0" fillId="38" borderId="16" xfId="44" applyNumberFormat="1" applyFont="1" applyFill="1" applyBorder="1" applyAlignment="1">
      <alignment/>
    </xf>
    <xf numFmtId="168" fontId="0" fillId="38" borderId="32" xfId="44" applyNumberFormat="1" applyFont="1" applyFill="1" applyBorder="1" applyAlignment="1">
      <alignment/>
    </xf>
    <xf numFmtId="168" fontId="0" fillId="38" borderId="33" xfId="44" applyNumberFormat="1" applyFont="1" applyFill="1" applyBorder="1" applyAlignment="1">
      <alignment/>
    </xf>
    <xf numFmtId="168" fontId="0" fillId="38" borderId="31" xfId="44" applyNumberFormat="1" applyFont="1" applyFill="1" applyBorder="1" applyAlignment="1">
      <alignment/>
    </xf>
    <xf numFmtId="0" fontId="0" fillId="38" borderId="0" xfId="0" applyFill="1" applyAlignment="1">
      <alignment/>
    </xf>
    <xf numFmtId="168" fontId="0" fillId="38" borderId="29" xfId="44" applyNumberFormat="1" applyFont="1" applyFill="1" applyBorder="1" applyAlignment="1">
      <alignment/>
    </xf>
    <xf numFmtId="0" fontId="0" fillId="0" borderId="28" xfId="0" applyFont="1" applyFill="1" applyBorder="1" applyAlignment="1">
      <alignment horizontal="left"/>
    </xf>
    <xf numFmtId="168" fontId="0" fillId="38" borderId="10" xfId="44" applyNumberFormat="1" applyFont="1" applyFill="1" applyBorder="1" applyAlignment="1">
      <alignment/>
    </xf>
    <xf numFmtId="0" fontId="0" fillId="0" borderId="40" xfId="0" applyFont="1" applyFill="1" applyBorder="1" applyAlignment="1">
      <alignment horizontal="center" wrapText="1"/>
    </xf>
    <xf numFmtId="176" fontId="0" fillId="0" borderId="0" xfId="42" applyNumberFormat="1" applyFont="1" applyAlignment="1">
      <alignment/>
    </xf>
    <xf numFmtId="165" fontId="0" fillId="0" borderId="0" xfId="44" applyNumberFormat="1" applyFont="1" applyAlignment="1">
      <alignment horizontal="left"/>
    </xf>
    <xf numFmtId="0" fontId="0" fillId="37" borderId="0" xfId="0" applyFont="1" applyFill="1" applyAlignment="1">
      <alignment/>
    </xf>
    <xf numFmtId="168" fontId="0" fillId="37" borderId="0" xfId="0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176" fontId="2" fillId="0" borderId="0" xfId="42" applyNumberFormat="1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42" xfId="0" applyBorder="1" applyAlignment="1">
      <alignment/>
    </xf>
    <xf numFmtId="0" fontId="7" fillId="0" borderId="26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29" xfId="0" applyFont="1" applyBorder="1" applyAlignment="1">
      <alignment/>
    </xf>
    <xf numFmtId="0" fontId="0" fillId="0" borderId="29" xfId="0" applyBorder="1" applyAlignment="1">
      <alignment/>
    </xf>
    <xf numFmtId="0" fontId="7" fillId="0" borderId="29" xfId="0" applyFont="1" applyBorder="1" applyAlignment="1">
      <alignment wrapText="1"/>
    </xf>
    <xf numFmtId="0" fontId="7" fillId="0" borderId="44" xfId="0" applyFont="1" applyBorder="1" applyAlignment="1">
      <alignment/>
    </xf>
    <xf numFmtId="0" fontId="0" fillId="0" borderId="45" xfId="0" applyBorder="1" applyAlignment="1">
      <alignment/>
    </xf>
    <xf numFmtId="0" fontId="7" fillId="0" borderId="44" xfId="0" applyFont="1" applyBorder="1" applyAlignment="1">
      <alignment wrapText="1"/>
    </xf>
    <xf numFmtId="0" fontId="7" fillId="0" borderId="46" xfId="0" applyFont="1" applyBorder="1" applyAlignment="1">
      <alignment/>
    </xf>
    <xf numFmtId="0" fontId="7" fillId="0" borderId="11" xfId="0" applyFont="1" applyBorder="1" applyAlignment="1">
      <alignment/>
    </xf>
    <xf numFmtId="12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 wrapText="1"/>
    </xf>
    <xf numFmtId="0" fontId="0" fillId="0" borderId="24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24" xfId="0" applyBorder="1" applyAlignment="1">
      <alignment/>
    </xf>
    <xf numFmtId="0" fontId="0" fillId="0" borderId="48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22" xfId="0" applyFont="1" applyBorder="1" applyAlignment="1">
      <alignment horizontal="center"/>
    </xf>
    <xf numFmtId="0" fontId="49" fillId="0" borderId="0" xfId="0" applyFont="1" applyFill="1" applyAlignment="1">
      <alignment/>
    </xf>
    <xf numFmtId="0" fontId="7" fillId="0" borderId="0" xfId="0" applyFont="1" applyAlignment="1">
      <alignment wrapText="1"/>
    </xf>
    <xf numFmtId="0" fontId="0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168" fontId="0" fillId="42" borderId="33" xfId="44" applyNumberFormat="1" applyFont="1" applyFill="1" applyBorder="1" applyAlignment="1">
      <alignment/>
    </xf>
    <xf numFmtId="168" fontId="0" fillId="42" borderId="31" xfId="44" applyNumberFormat="1" applyFont="1" applyFill="1" applyBorder="1" applyAlignment="1">
      <alignment/>
    </xf>
    <xf numFmtId="168" fontId="0" fillId="42" borderId="40" xfId="44" applyNumberFormat="1" applyFont="1" applyFill="1" applyBorder="1" applyAlignment="1">
      <alignment/>
    </xf>
    <xf numFmtId="168" fontId="0" fillId="42" borderId="16" xfId="44" applyNumberFormat="1" applyFont="1" applyFill="1" applyBorder="1" applyAlignment="1">
      <alignment/>
    </xf>
    <xf numFmtId="167" fontId="0" fillId="42" borderId="0" xfId="0" applyNumberFormat="1" applyFill="1" applyAlignment="1">
      <alignment/>
    </xf>
    <xf numFmtId="167" fontId="0" fillId="0" borderId="51" xfId="0" applyNumberFormat="1" applyBorder="1" applyAlignment="1">
      <alignment/>
    </xf>
    <xf numFmtId="168" fontId="0" fillId="38" borderId="16" xfId="44" applyNumberFormat="1" applyFont="1" applyFill="1" applyBorder="1" applyAlignment="1">
      <alignment horizontal="left"/>
    </xf>
    <xf numFmtId="168" fontId="0" fillId="43" borderId="16" xfId="44" applyNumberFormat="1" applyFont="1" applyFill="1" applyBorder="1" applyAlignment="1">
      <alignment/>
    </xf>
    <xf numFmtId="168" fontId="0" fillId="42" borderId="32" xfId="44" applyNumberFormat="1" applyFont="1" applyFill="1" applyBorder="1" applyAlignment="1">
      <alignment/>
    </xf>
    <xf numFmtId="168" fontId="0" fillId="8" borderId="32" xfId="44" applyNumberFormat="1" applyFont="1" applyFill="1" applyBorder="1" applyAlignment="1">
      <alignment/>
    </xf>
    <xf numFmtId="0" fontId="0" fillId="43" borderId="16" xfId="0" applyFont="1" applyFill="1" applyBorder="1" applyAlignment="1">
      <alignment horizontal="left"/>
    </xf>
    <xf numFmtId="167" fontId="0" fillId="0" borderId="0" xfId="0" applyNumberFormat="1" applyAlignment="1">
      <alignment/>
    </xf>
    <xf numFmtId="168" fontId="0" fillId="0" borderId="0" xfId="0" applyNumberFormat="1" applyAlignment="1">
      <alignment horizontal="right"/>
    </xf>
    <xf numFmtId="0" fontId="2" fillId="0" borderId="52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left"/>
    </xf>
    <xf numFmtId="0" fontId="2" fillId="0" borderId="44" xfId="0" applyFont="1" applyFill="1" applyBorder="1" applyAlignment="1">
      <alignment horizontal="left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38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0" fontId="2" fillId="0" borderId="58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52" fillId="44" borderId="38" xfId="0" applyFont="1" applyFill="1" applyBorder="1" applyAlignment="1">
      <alignment horizontal="center"/>
    </xf>
    <xf numFmtId="0" fontId="52" fillId="44" borderId="30" xfId="0" applyFont="1" applyFill="1" applyBorder="1" applyAlignment="1">
      <alignment horizontal="center"/>
    </xf>
    <xf numFmtId="37" fontId="2" fillId="0" borderId="0" xfId="44" applyNumberFormat="1" applyFont="1" applyFill="1" applyAlignment="1">
      <alignment horizontal="center"/>
    </xf>
    <xf numFmtId="168" fontId="53" fillId="37" borderId="0" xfId="44" applyNumberFormat="1" applyFont="1" applyFill="1" applyAlignment="1">
      <alignment horizontal="right"/>
    </xf>
    <xf numFmtId="168" fontId="0" fillId="0" borderId="51" xfId="44" applyNumberFormat="1" applyFont="1" applyFill="1" applyBorder="1" applyAlignment="1">
      <alignment/>
    </xf>
    <xf numFmtId="0" fontId="0" fillId="37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J287"/>
  <sheetViews>
    <sheetView tabSelected="1" zoomScalePageLayoutView="0" workbookViewId="0" topLeftCell="A1">
      <pane ySplit="5" topLeftCell="A255" activePane="bottomLeft" state="frozen"/>
      <selection pane="topLeft" activeCell="A1" sqref="A1"/>
      <selection pane="bottomLeft" activeCell="H277" sqref="H277"/>
    </sheetView>
  </sheetViews>
  <sheetFormatPr defaultColWidth="9.140625" defaultRowHeight="12.75"/>
  <cols>
    <col min="1" max="1" width="8.00390625" style="0" customWidth="1"/>
    <col min="2" max="2" width="43.7109375" style="0" customWidth="1"/>
    <col min="3" max="3" width="5.57421875" style="0" customWidth="1"/>
    <col min="4" max="4" width="11.140625" style="0" customWidth="1"/>
    <col min="5" max="5" width="5.8515625" style="0" customWidth="1"/>
    <col min="6" max="7" width="15.140625" style="0" customWidth="1"/>
    <col min="8" max="8" width="32.57421875" style="0" customWidth="1"/>
    <col min="9" max="9" width="16.00390625" style="0" customWidth="1"/>
    <col min="10" max="10" width="17.8515625" style="0" customWidth="1"/>
  </cols>
  <sheetData>
    <row r="1" spans="1:9" ht="12.75">
      <c r="A1" s="166" t="s">
        <v>457</v>
      </c>
      <c r="B1" s="195"/>
      <c r="C1" s="165" t="s">
        <v>370</v>
      </c>
      <c r="E1" s="464" t="s">
        <v>451</v>
      </c>
      <c r="F1" s="464"/>
      <c r="G1" s="248">
        <f>G279</f>
        <v>8621853.801</v>
      </c>
      <c r="H1" s="442" t="s">
        <v>1020</v>
      </c>
      <c r="I1" s="455"/>
    </row>
    <row r="2" spans="1:9" ht="12.75">
      <c r="A2" s="166"/>
      <c r="B2" s="195" t="s">
        <v>654</v>
      </c>
      <c r="C2" s="165"/>
      <c r="E2" s="260"/>
      <c r="F2" s="456" t="s">
        <v>946</v>
      </c>
      <c r="G2" s="248">
        <v>0</v>
      </c>
      <c r="H2" s="443">
        <f>G1-G2</f>
        <v>8621853.801</v>
      </c>
      <c r="I2" s="455"/>
    </row>
    <row r="3" spans="1:9" ht="12.75">
      <c r="A3" s="168"/>
      <c r="B3" s="195"/>
      <c r="C3" s="165" t="s">
        <v>445</v>
      </c>
      <c r="E3" s="244" t="s">
        <v>947</v>
      </c>
      <c r="F3" s="293" t="s">
        <v>635</v>
      </c>
      <c r="G3" s="409">
        <v>154400</v>
      </c>
      <c r="H3" s="410">
        <f>G1/G3</f>
        <v>55.84102202720208</v>
      </c>
      <c r="I3" s="455"/>
    </row>
    <row r="4" spans="1:9" ht="24.75" customHeight="1">
      <c r="A4" s="169"/>
      <c r="B4" s="51"/>
      <c r="C4" s="51"/>
      <c r="D4" s="51"/>
      <c r="E4" s="51"/>
      <c r="F4" s="51"/>
      <c r="G4" s="51"/>
      <c r="H4" s="51"/>
      <c r="I4" s="441" t="s">
        <v>1006</v>
      </c>
    </row>
    <row r="5" spans="1:8" ht="12.75">
      <c r="A5" s="301" t="s">
        <v>655</v>
      </c>
      <c r="B5" s="227" t="s">
        <v>0</v>
      </c>
      <c r="C5" s="356"/>
      <c r="D5" s="227"/>
      <c r="E5" s="227"/>
      <c r="F5" s="227"/>
      <c r="G5" s="227"/>
      <c r="H5" s="301" t="s">
        <v>913</v>
      </c>
    </row>
    <row r="6" spans="1:8" ht="12.75">
      <c r="A6" s="465" t="s">
        <v>386</v>
      </c>
      <c r="B6" s="466"/>
      <c r="C6" s="261"/>
      <c r="D6" s="252"/>
      <c r="E6" s="252"/>
      <c r="F6" s="245">
        <f>SUM(C6:D6)</f>
        <v>0</v>
      </c>
      <c r="G6" s="245"/>
      <c r="H6" s="235"/>
    </row>
    <row r="7" spans="1:9" ht="12.75">
      <c r="A7" s="234">
        <v>1</v>
      </c>
      <c r="B7" s="258" t="s">
        <v>656</v>
      </c>
      <c r="C7" s="261"/>
      <c r="D7" s="252"/>
      <c r="E7" s="252"/>
      <c r="F7" s="245"/>
      <c r="G7" s="245">
        <f>F8+F9+F10+F11</f>
        <v>31300</v>
      </c>
      <c r="H7" s="235"/>
      <c r="I7" t="s">
        <v>922</v>
      </c>
    </row>
    <row r="8" spans="1:8" ht="12.75">
      <c r="A8" s="234"/>
      <c r="B8" s="258" t="s">
        <v>657</v>
      </c>
      <c r="C8" s="261"/>
      <c r="D8" s="382">
        <v>380</v>
      </c>
      <c r="E8" s="382" t="s">
        <v>14</v>
      </c>
      <c r="F8" s="245">
        <f>D8*5</f>
        <v>1900</v>
      </c>
      <c r="G8" s="400"/>
      <c r="H8" s="258"/>
    </row>
    <row r="9" spans="1:8" ht="12.75">
      <c r="A9" s="234"/>
      <c r="B9" s="258" t="s">
        <v>880</v>
      </c>
      <c r="C9" s="261"/>
      <c r="D9" s="382">
        <v>87</v>
      </c>
      <c r="E9" s="252" t="s">
        <v>16</v>
      </c>
      <c r="F9" s="245">
        <f>D9*50</f>
        <v>4350</v>
      </c>
      <c r="G9" s="400"/>
      <c r="H9" s="258"/>
    </row>
    <row r="10" spans="1:8" ht="12.75">
      <c r="A10" s="234"/>
      <c r="B10" s="258" t="s">
        <v>658</v>
      </c>
      <c r="C10" s="261"/>
      <c r="D10" s="382">
        <v>522</v>
      </c>
      <c r="E10" s="252" t="s">
        <v>14</v>
      </c>
      <c r="F10" s="245">
        <f>D10*25</f>
        <v>13050</v>
      </c>
      <c r="G10" s="400"/>
      <c r="H10" s="258"/>
    </row>
    <row r="11" spans="1:8" ht="13.5" thickBot="1">
      <c r="A11" s="312"/>
      <c r="B11" s="313" t="s">
        <v>659</v>
      </c>
      <c r="C11" s="314"/>
      <c r="D11" s="383">
        <v>4</v>
      </c>
      <c r="E11" s="315" t="s">
        <v>15</v>
      </c>
      <c r="F11" s="316">
        <f>D11*3000</f>
        <v>12000</v>
      </c>
      <c r="G11" s="401"/>
      <c r="H11" s="317"/>
    </row>
    <row r="12" spans="1:9" ht="13.5" thickBot="1">
      <c r="A12" s="318">
        <v>2</v>
      </c>
      <c r="B12" s="319" t="s">
        <v>899</v>
      </c>
      <c r="C12" s="320"/>
      <c r="D12" s="384"/>
      <c r="E12" s="321"/>
      <c r="F12" s="322">
        <v>3000</v>
      </c>
      <c r="G12" s="322">
        <f>SUM(C12:F12)</f>
        <v>3000</v>
      </c>
      <c r="H12" s="323"/>
      <c r="I12" t="s">
        <v>922</v>
      </c>
    </row>
    <row r="13" spans="1:9" ht="13.5" thickBot="1">
      <c r="A13" s="318">
        <v>3</v>
      </c>
      <c r="B13" s="319" t="s">
        <v>660</v>
      </c>
      <c r="C13" s="320"/>
      <c r="D13" s="384">
        <v>85</v>
      </c>
      <c r="E13" s="321" t="s">
        <v>15</v>
      </c>
      <c r="F13" s="322">
        <f>D13*100</f>
        <v>8500</v>
      </c>
      <c r="G13" s="322">
        <f>F13</f>
        <v>8500</v>
      </c>
      <c r="H13" s="323"/>
      <c r="I13" t="s">
        <v>922</v>
      </c>
    </row>
    <row r="14" spans="1:9" ht="13.5" thickBot="1">
      <c r="A14" s="318">
        <v>4</v>
      </c>
      <c r="B14" s="319" t="s">
        <v>661</v>
      </c>
      <c r="C14" s="320"/>
      <c r="D14" s="384">
        <v>1</v>
      </c>
      <c r="E14" s="321" t="s">
        <v>17</v>
      </c>
      <c r="F14" s="322">
        <v>20000</v>
      </c>
      <c r="G14" s="322">
        <f>F14</f>
        <v>20000</v>
      </c>
      <c r="H14" s="323"/>
      <c r="I14" t="s">
        <v>922</v>
      </c>
    </row>
    <row r="15" spans="1:9" ht="13.5" thickBot="1">
      <c r="A15" s="318">
        <v>5</v>
      </c>
      <c r="B15" s="319" t="s">
        <v>662</v>
      </c>
      <c r="C15" s="320"/>
      <c r="D15" s="384">
        <v>5</v>
      </c>
      <c r="E15" s="321" t="s">
        <v>15</v>
      </c>
      <c r="F15" s="322">
        <f>D15*1250</f>
        <v>6250</v>
      </c>
      <c r="G15" s="322">
        <f>F15</f>
        <v>6250</v>
      </c>
      <c r="H15" s="324"/>
      <c r="I15" t="s">
        <v>922</v>
      </c>
    </row>
    <row r="16" spans="1:9" ht="12.75">
      <c r="A16" s="306">
        <v>6</v>
      </c>
      <c r="B16" s="307" t="s">
        <v>948</v>
      </c>
      <c r="C16" s="308"/>
      <c r="D16" s="385" t="s">
        <v>383</v>
      </c>
      <c r="E16" s="309"/>
      <c r="F16" s="309">
        <v>0</v>
      </c>
      <c r="G16" s="310">
        <f>F16+F17</f>
        <v>2500</v>
      </c>
      <c r="H16" s="311"/>
      <c r="I16" t="s">
        <v>922</v>
      </c>
    </row>
    <row r="17" spans="1:8" ht="13.5" thickBot="1">
      <c r="A17" s="312"/>
      <c r="B17" s="313" t="s">
        <v>663</v>
      </c>
      <c r="C17" s="314"/>
      <c r="D17" s="383">
        <v>5</v>
      </c>
      <c r="E17" s="315" t="s">
        <v>15</v>
      </c>
      <c r="F17" s="316">
        <f>D17*500</f>
        <v>2500</v>
      </c>
      <c r="G17" s="401"/>
      <c r="H17" s="317"/>
    </row>
    <row r="18" spans="1:9" ht="12.75">
      <c r="A18" s="306">
        <v>7</v>
      </c>
      <c r="B18" s="307" t="s">
        <v>1003</v>
      </c>
      <c r="C18" s="308"/>
      <c r="D18" s="385"/>
      <c r="E18" s="309"/>
      <c r="F18" s="310"/>
      <c r="G18" s="310">
        <f>F19+F20+F21</f>
        <v>10200</v>
      </c>
      <c r="H18" s="311"/>
      <c r="I18" t="s">
        <v>922</v>
      </c>
    </row>
    <row r="19" spans="1:8" ht="12.75">
      <c r="A19" s="234"/>
      <c r="B19" s="259" t="s">
        <v>664</v>
      </c>
      <c r="C19" s="261"/>
      <c r="D19" s="382">
        <v>680</v>
      </c>
      <c r="E19" s="252" t="s">
        <v>14</v>
      </c>
      <c r="F19" s="451">
        <f>D19*5</f>
        <v>3400</v>
      </c>
      <c r="G19" s="400"/>
      <c r="H19" s="258"/>
    </row>
    <row r="20" spans="1:8" ht="12.75">
      <c r="A20" s="234"/>
      <c r="B20" s="259" t="s">
        <v>663</v>
      </c>
      <c r="C20" s="261"/>
      <c r="D20" s="382">
        <v>680</v>
      </c>
      <c r="E20" s="252" t="s">
        <v>14</v>
      </c>
      <c r="F20" s="245">
        <f>D20*2</f>
        <v>1360</v>
      </c>
      <c r="G20" s="400"/>
      <c r="H20" s="258"/>
    </row>
    <row r="21" spans="1:8" ht="13.5" thickBot="1">
      <c r="A21" s="312"/>
      <c r="B21" s="313" t="s">
        <v>665</v>
      </c>
      <c r="C21" s="314"/>
      <c r="D21" s="383">
        <v>680</v>
      </c>
      <c r="E21" s="315" t="s">
        <v>14</v>
      </c>
      <c r="F21" s="316">
        <f>D21*8</f>
        <v>5440</v>
      </c>
      <c r="G21" s="401"/>
      <c r="H21" s="317"/>
    </row>
    <row r="22" spans="1:9" ht="12.75">
      <c r="A22" s="325">
        <v>8</v>
      </c>
      <c r="B22" s="307" t="s">
        <v>666</v>
      </c>
      <c r="C22" s="308"/>
      <c r="D22" s="385"/>
      <c r="E22" s="309"/>
      <c r="F22" s="310"/>
      <c r="G22" s="310">
        <f>F23+F24+F25</f>
        <v>5780</v>
      </c>
      <c r="H22" s="311"/>
      <c r="I22" t="s">
        <v>923</v>
      </c>
    </row>
    <row r="23" spans="1:8" ht="12.75">
      <c r="A23" s="234"/>
      <c r="B23" s="259" t="s">
        <v>664</v>
      </c>
      <c r="C23" s="261"/>
      <c r="D23" s="382">
        <v>340</v>
      </c>
      <c r="E23" s="252" t="s">
        <v>14</v>
      </c>
      <c r="F23" s="245">
        <f>D23*5</f>
        <v>1700</v>
      </c>
      <c r="G23" s="450"/>
      <c r="H23" s="258"/>
    </row>
    <row r="24" spans="1:8" ht="12.75">
      <c r="A24" s="234"/>
      <c r="B24" s="259" t="s">
        <v>663</v>
      </c>
      <c r="C24" s="261"/>
      <c r="D24" s="382">
        <v>340</v>
      </c>
      <c r="E24" s="252" t="s">
        <v>14</v>
      </c>
      <c r="F24" s="245">
        <f>D24*2</f>
        <v>680</v>
      </c>
      <c r="G24" s="400"/>
      <c r="H24" s="258"/>
    </row>
    <row r="25" spans="1:8" ht="13.5" thickBot="1">
      <c r="A25" s="312"/>
      <c r="B25" s="313" t="s">
        <v>667</v>
      </c>
      <c r="C25" s="314"/>
      <c r="D25" s="383">
        <v>340</v>
      </c>
      <c r="E25" s="315" t="s">
        <v>14</v>
      </c>
      <c r="F25" s="316">
        <f>D25*10</f>
        <v>3400</v>
      </c>
      <c r="G25" s="401"/>
      <c r="H25" s="317"/>
    </row>
    <row r="26" spans="1:9" ht="13.5" thickBot="1">
      <c r="A26" s="328">
        <v>9</v>
      </c>
      <c r="B26" s="319" t="s">
        <v>949</v>
      </c>
      <c r="C26" s="320"/>
      <c r="D26" s="384">
        <v>60</v>
      </c>
      <c r="E26" s="321" t="s">
        <v>16</v>
      </c>
      <c r="F26" s="322">
        <f>D26*15</f>
        <v>900</v>
      </c>
      <c r="G26" s="322">
        <f aca="true" t="shared" si="0" ref="G26:G80">F26</f>
        <v>900</v>
      </c>
      <c r="H26" s="323" t="s">
        <v>1005</v>
      </c>
      <c r="I26" t="s">
        <v>922</v>
      </c>
    </row>
    <row r="27" spans="1:9" ht="12.75">
      <c r="A27" s="325">
        <v>10</v>
      </c>
      <c r="B27" s="307" t="s">
        <v>668</v>
      </c>
      <c r="C27" s="308"/>
      <c r="D27" s="385"/>
      <c r="E27" s="309"/>
      <c r="F27" s="310"/>
      <c r="G27" s="310">
        <f>F28+F29</f>
        <v>3000</v>
      </c>
      <c r="H27" s="311"/>
      <c r="I27" t="s">
        <v>922</v>
      </c>
    </row>
    <row r="28" spans="1:8" ht="12.75">
      <c r="A28" s="251"/>
      <c r="B28" s="259" t="s">
        <v>664</v>
      </c>
      <c r="C28" s="261"/>
      <c r="D28" s="382">
        <v>200</v>
      </c>
      <c r="E28" s="252" t="s">
        <v>14</v>
      </c>
      <c r="F28" s="245">
        <f>D28*5</f>
        <v>1000</v>
      </c>
      <c r="G28" s="400"/>
      <c r="H28" s="258" t="s">
        <v>1004</v>
      </c>
    </row>
    <row r="29" spans="1:8" ht="13.5" thickBot="1">
      <c r="A29" s="326"/>
      <c r="B29" s="327" t="s">
        <v>667</v>
      </c>
      <c r="C29" s="314"/>
      <c r="D29" s="383">
        <v>200</v>
      </c>
      <c r="E29" s="315" t="s">
        <v>14</v>
      </c>
      <c r="F29" s="316">
        <f>D29*10</f>
        <v>2000</v>
      </c>
      <c r="G29" s="401"/>
      <c r="H29" s="317"/>
    </row>
    <row r="30" spans="1:9" ht="13.5" thickBot="1">
      <c r="A30" s="318">
        <v>11</v>
      </c>
      <c r="B30" s="319" t="s">
        <v>669</v>
      </c>
      <c r="C30" s="320"/>
      <c r="D30" s="384">
        <v>46</v>
      </c>
      <c r="E30" s="321" t="s">
        <v>15</v>
      </c>
      <c r="F30" s="322">
        <f>D30*250</f>
        <v>11500</v>
      </c>
      <c r="G30" s="322">
        <f t="shared" si="0"/>
        <v>11500</v>
      </c>
      <c r="H30" s="323"/>
      <c r="I30" t="s">
        <v>922</v>
      </c>
    </row>
    <row r="31" spans="1:9" ht="13.5" thickBot="1">
      <c r="A31" s="318">
        <v>12</v>
      </c>
      <c r="B31" s="319" t="s">
        <v>670</v>
      </c>
      <c r="C31" s="320"/>
      <c r="D31" s="384">
        <v>1</v>
      </c>
      <c r="E31" s="321" t="s">
        <v>17</v>
      </c>
      <c r="F31" s="322">
        <v>15000</v>
      </c>
      <c r="G31" s="322">
        <f t="shared" si="0"/>
        <v>15000</v>
      </c>
      <c r="H31" s="323" t="s">
        <v>882</v>
      </c>
      <c r="I31" t="s">
        <v>922</v>
      </c>
    </row>
    <row r="32" spans="1:9" ht="13.5" thickBot="1">
      <c r="A32" s="328">
        <v>13</v>
      </c>
      <c r="B32" s="319" t="s">
        <v>671</v>
      </c>
      <c r="C32" s="320"/>
      <c r="D32" s="384">
        <v>45000</v>
      </c>
      <c r="E32" s="321" t="s">
        <v>14</v>
      </c>
      <c r="F32" s="322">
        <f>SUM(C32:D32)</f>
        <v>45000</v>
      </c>
      <c r="G32" s="322">
        <f t="shared" si="0"/>
        <v>45000</v>
      </c>
      <c r="H32" s="324"/>
      <c r="I32" t="s">
        <v>922</v>
      </c>
    </row>
    <row r="33" spans="1:9" ht="13.5" thickBot="1">
      <c r="A33" s="318">
        <v>14</v>
      </c>
      <c r="B33" s="319" t="s">
        <v>672</v>
      </c>
      <c r="C33" s="320"/>
      <c r="D33" s="384">
        <v>85</v>
      </c>
      <c r="E33" s="368" t="s">
        <v>15</v>
      </c>
      <c r="F33" s="322">
        <f>D33*250</f>
        <v>21250</v>
      </c>
      <c r="G33" s="322">
        <f>F33</f>
        <v>21250</v>
      </c>
      <c r="H33" s="319" t="s">
        <v>900</v>
      </c>
      <c r="I33" t="s">
        <v>922</v>
      </c>
    </row>
    <row r="34" spans="1:9" ht="13.5" thickBot="1">
      <c r="A34" s="318">
        <v>15</v>
      </c>
      <c r="B34" s="319" t="s">
        <v>673</v>
      </c>
      <c r="C34" s="320"/>
      <c r="D34" s="384">
        <v>3265</v>
      </c>
      <c r="E34" s="321" t="s">
        <v>14</v>
      </c>
      <c r="F34" s="322">
        <f>D34*6</f>
        <v>19590</v>
      </c>
      <c r="G34" s="322">
        <f t="shared" si="0"/>
        <v>19590</v>
      </c>
      <c r="H34" s="319"/>
      <c r="I34" t="s">
        <v>922</v>
      </c>
    </row>
    <row r="35" spans="1:9" ht="13.5" thickBot="1">
      <c r="A35" s="318">
        <v>16</v>
      </c>
      <c r="B35" s="319" t="s">
        <v>674</v>
      </c>
      <c r="C35" s="320"/>
      <c r="D35" s="384">
        <v>10</v>
      </c>
      <c r="E35" s="321" t="s">
        <v>15</v>
      </c>
      <c r="F35" s="322">
        <f>D35*1800</f>
        <v>18000</v>
      </c>
      <c r="G35" s="322">
        <f t="shared" si="0"/>
        <v>18000</v>
      </c>
      <c r="H35" s="319" t="s">
        <v>924</v>
      </c>
      <c r="I35" t="s">
        <v>922</v>
      </c>
    </row>
    <row r="36" spans="1:9" ht="13.5" thickBot="1">
      <c r="A36" s="318">
        <v>17</v>
      </c>
      <c r="B36" s="319" t="s">
        <v>675</v>
      </c>
      <c r="C36" s="320"/>
      <c r="D36" s="384">
        <v>1</v>
      </c>
      <c r="E36" s="321" t="s">
        <v>17</v>
      </c>
      <c r="F36" s="322">
        <f>D36*25000</f>
        <v>25000</v>
      </c>
      <c r="G36" s="444">
        <f t="shared" si="0"/>
        <v>25000</v>
      </c>
      <c r="H36" s="319" t="s">
        <v>925</v>
      </c>
      <c r="I36" t="s">
        <v>922</v>
      </c>
    </row>
    <row r="37" spans="1:9" ht="13.5" thickBot="1">
      <c r="A37" s="328">
        <v>18</v>
      </c>
      <c r="B37" s="319" t="s">
        <v>676</v>
      </c>
      <c r="C37" s="320"/>
      <c r="D37" s="384">
        <v>1</v>
      </c>
      <c r="E37" s="321" t="s">
        <v>15</v>
      </c>
      <c r="F37" s="322">
        <v>4000</v>
      </c>
      <c r="G37" s="322">
        <f t="shared" si="0"/>
        <v>4000</v>
      </c>
      <c r="H37" s="323"/>
      <c r="I37" t="s">
        <v>922</v>
      </c>
    </row>
    <row r="38" spans="1:9" ht="13.5" thickBot="1">
      <c r="A38" s="328">
        <v>19</v>
      </c>
      <c r="B38" s="319" t="s">
        <v>677</v>
      </c>
      <c r="C38" s="320"/>
      <c r="D38" s="384">
        <v>4</v>
      </c>
      <c r="E38" s="321" t="s">
        <v>15</v>
      </c>
      <c r="F38" s="322">
        <f>D38*2500</f>
        <v>10000</v>
      </c>
      <c r="G38" s="322">
        <f t="shared" si="0"/>
        <v>10000</v>
      </c>
      <c r="H38" s="323" t="s">
        <v>919</v>
      </c>
      <c r="I38" t="s">
        <v>922</v>
      </c>
    </row>
    <row r="39" spans="1:9" ht="13.5" thickBot="1">
      <c r="A39" s="318">
        <v>20</v>
      </c>
      <c r="B39" s="319" t="s">
        <v>678</v>
      </c>
      <c r="C39" s="320"/>
      <c r="D39" s="384">
        <v>1</v>
      </c>
      <c r="E39" s="321" t="s">
        <v>17</v>
      </c>
      <c r="F39" s="322">
        <f>D39*25000</f>
        <v>25000</v>
      </c>
      <c r="G39" s="322">
        <f t="shared" si="0"/>
        <v>25000</v>
      </c>
      <c r="H39" s="321" t="s">
        <v>882</v>
      </c>
      <c r="I39" t="s">
        <v>922</v>
      </c>
    </row>
    <row r="40" spans="1:9" ht="13.5" thickBot="1">
      <c r="A40" s="318">
        <v>21</v>
      </c>
      <c r="B40" s="319" t="s">
        <v>679</v>
      </c>
      <c r="C40" s="320"/>
      <c r="D40" s="384">
        <v>50</v>
      </c>
      <c r="E40" s="321" t="s">
        <v>16</v>
      </c>
      <c r="F40" s="322">
        <f>D40*125</f>
        <v>6250</v>
      </c>
      <c r="G40" s="322">
        <f t="shared" si="0"/>
        <v>6250</v>
      </c>
      <c r="H40" s="323" t="s">
        <v>926</v>
      </c>
      <c r="I40" t="s">
        <v>922</v>
      </c>
    </row>
    <row r="41" spans="1:9" ht="13.5" thickBot="1">
      <c r="A41" s="328">
        <v>22</v>
      </c>
      <c r="B41" s="319" t="s">
        <v>680</v>
      </c>
      <c r="C41" s="320"/>
      <c r="D41" s="384">
        <v>220</v>
      </c>
      <c r="E41" s="321" t="s">
        <v>16</v>
      </c>
      <c r="F41" s="322">
        <f>D41*175</f>
        <v>38500</v>
      </c>
      <c r="G41" s="444">
        <f t="shared" si="0"/>
        <v>38500</v>
      </c>
      <c r="H41" s="323" t="s">
        <v>920</v>
      </c>
      <c r="I41" t="s">
        <v>922</v>
      </c>
    </row>
    <row r="42" spans="1:8" ht="12.75">
      <c r="A42" s="329"/>
      <c r="B42" s="330"/>
      <c r="C42" s="357"/>
      <c r="D42" s="381"/>
      <c r="E42" s="331"/>
      <c r="F42" s="332"/>
      <c r="G42" s="332"/>
      <c r="H42" s="333"/>
    </row>
    <row r="43" spans="1:8" ht="13.5" thickBot="1">
      <c r="A43" s="459" t="s">
        <v>681</v>
      </c>
      <c r="B43" s="467"/>
      <c r="C43" s="358"/>
      <c r="D43" s="386"/>
      <c r="E43" s="335"/>
      <c r="F43" s="336"/>
      <c r="G43" s="336"/>
      <c r="H43" s="337"/>
    </row>
    <row r="44" spans="1:9" ht="13.5" thickTop="1">
      <c r="A44" s="306">
        <v>1</v>
      </c>
      <c r="B44" s="307" t="s">
        <v>883</v>
      </c>
      <c r="C44" s="308"/>
      <c r="D44" s="385">
        <v>140</v>
      </c>
      <c r="E44" s="309" t="s">
        <v>921</v>
      </c>
      <c r="F44" s="310">
        <f>D44*300</f>
        <v>42000</v>
      </c>
      <c r="G44" s="351">
        <f>F44+F45</f>
        <v>91000</v>
      </c>
      <c r="H44" s="333" t="s">
        <v>1007</v>
      </c>
      <c r="I44" t="s">
        <v>922</v>
      </c>
    </row>
    <row r="45" spans="1:9" ht="13.5" thickBot="1">
      <c r="A45" s="334"/>
      <c r="B45" s="313" t="s">
        <v>682</v>
      </c>
      <c r="C45" s="314"/>
      <c r="D45" s="383">
        <v>14000</v>
      </c>
      <c r="E45" s="315" t="s">
        <v>14</v>
      </c>
      <c r="F45" s="452">
        <f>D45*3.5</f>
        <v>49000</v>
      </c>
      <c r="G45" s="401"/>
      <c r="H45" s="317" t="s">
        <v>1008</v>
      </c>
      <c r="I45" t="s">
        <v>922</v>
      </c>
    </row>
    <row r="46" spans="1:9" ht="13.5" thickBot="1">
      <c r="A46" s="328">
        <v>2</v>
      </c>
      <c r="B46" s="319" t="s">
        <v>683</v>
      </c>
      <c r="C46" s="320"/>
      <c r="D46" s="384">
        <v>500</v>
      </c>
      <c r="E46" s="321" t="s">
        <v>16</v>
      </c>
      <c r="F46" s="322">
        <f>D46*12</f>
        <v>6000</v>
      </c>
      <c r="G46" s="322">
        <f t="shared" si="0"/>
        <v>6000</v>
      </c>
      <c r="H46" s="323"/>
      <c r="I46" t="s">
        <v>922</v>
      </c>
    </row>
    <row r="47" spans="1:9" ht="13.5" thickBot="1">
      <c r="A47" s="328">
        <v>3</v>
      </c>
      <c r="B47" s="371" t="s">
        <v>684</v>
      </c>
      <c r="C47" s="320"/>
      <c r="D47" s="384">
        <v>3000</v>
      </c>
      <c r="E47" s="321"/>
      <c r="F47" s="366"/>
      <c r="G47" s="402">
        <f t="shared" si="0"/>
        <v>0</v>
      </c>
      <c r="H47" s="323" t="s">
        <v>1010</v>
      </c>
      <c r="I47" t="s">
        <v>923</v>
      </c>
    </row>
    <row r="48" spans="1:9" ht="12.75">
      <c r="A48" s="306">
        <v>4</v>
      </c>
      <c r="B48" s="372" t="s">
        <v>685</v>
      </c>
      <c r="C48" s="308"/>
      <c r="D48" s="385">
        <v>56000</v>
      </c>
      <c r="E48" s="309"/>
      <c r="F48" s="369"/>
      <c r="G48" s="403">
        <f>F48+F49+F50</f>
        <v>0</v>
      </c>
      <c r="H48" s="307" t="s">
        <v>1009</v>
      </c>
      <c r="I48" t="s">
        <v>923</v>
      </c>
    </row>
    <row r="49" spans="1:9" ht="12.75">
      <c r="A49" s="234"/>
      <c r="B49" s="373" t="s">
        <v>686</v>
      </c>
      <c r="C49" s="261"/>
      <c r="D49" s="382">
        <v>70000</v>
      </c>
      <c r="E49" s="252"/>
      <c r="F49" s="367"/>
      <c r="G49" s="400"/>
      <c r="H49" s="307" t="s">
        <v>1009</v>
      </c>
      <c r="I49" t="s">
        <v>923</v>
      </c>
    </row>
    <row r="50" spans="1:9" ht="13.5" thickBot="1">
      <c r="A50" s="312"/>
      <c r="B50" s="354" t="s">
        <v>950</v>
      </c>
      <c r="C50" s="314"/>
      <c r="D50" s="383">
        <v>28000</v>
      </c>
      <c r="E50" s="315"/>
      <c r="F50" s="370"/>
      <c r="G50" s="401"/>
      <c r="H50" s="307" t="s">
        <v>1009</v>
      </c>
      <c r="I50" t="s">
        <v>923</v>
      </c>
    </row>
    <row r="51" spans="1:9" ht="13.5" thickBot="1">
      <c r="A51" s="318">
        <v>5</v>
      </c>
      <c r="B51" s="319" t="s">
        <v>687</v>
      </c>
      <c r="C51" s="320"/>
      <c r="D51" s="384">
        <v>39000</v>
      </c>
      <c r="E51" s="321" t="s">
        <v>14</v>
      </c>
      <c r="F51" s="322">
        <f>D51*0.4</f>
        <v>15600</v>
      </c>
      <c r="G51" s="322">
        <f t="shared" si="0"/>
        <v>15600</v>
      </c>
      <c r="H51" s="319"/>
      <c r="I51" t="s">
        <v>922</v>
      </c>
    </row>
    <row r="52" spans="1:9" ht="13.5" thickBot="1">
      <c r="A52" s="318">
        <v>12</v>
      </c>
      <c r="B52" s="319" t="s">
        <v>897</v>
      </c>
      <c r="C52" s="320"/>
      <c r="D52" s="384">
        <v>315</v>
      </c>
      <c r="E52" s="321" t="s">
        <v>15</v>
      </c>
      <c r="F52" s="322">
        <f>D52*700</f>
        <v>220500</v>
      </c>
      <c r="G52" s="444">
        <f t="shared" si="0"/>
        <v>220500</v>
      </c>
      <c r="H52" s="319" t="s">
        <v>927</v>
      </c>
      <c r="I52" t="s">
        <v>1011</v>
      </c>
    </row>
    <row r="53" spans="1:9" ht="13.5" thickBot="1">
      <c r="A53" s="318">
        <v>13</v>
      </c>
      <c r="B53" s="319" t="s">
        <v>688</v>
      </c>
      <c r="C53" s="320"/>
      <c r="D53" s="384">
        <v>1</v>
      </c>
      <c r="E53" s="321" t="s">
        <v>17</v>
      </c>
      <c r="F53" s="322">
        <f>D53*7500</f>
        <v>7500</v>
      </c>
      <c r="G53" s="322">
        <f t="shared" si="0"/>
        <v>7500</v>
      </c>
      <c r="H53" s="319"/>
      <c r="I53" t="s">
        <v>922</v>
      </c>
    </row>
    <row r="54" spans="1:9" ht="13.5" thickBot="1">
      <c r="A54" s="318">
        <v>15</v>
      </c>
      <c r="B54" s="319" t="s">
        <v>1012</v>
      </c>
      <c r="C54" s="320"/>
      <c r="D54" s="384">
        <v>1</v>
      </c>
      <c r="E54" s="321" t="s">
        <v>17</v>
      </c>
      <c r="F54" s="322">
        <f>D54*100000</f>
        <v>100000</v>
      </c>
      <c r="G54" s="322">
        <f t="shared" si="0"/>
        <v>100000</v>
      </c>
      <c r="H54" s="319"/>
      <c r="I54" t="s">
        <v>922</v>
      </c>
    </row>
    <row r="55" spans="1:9" ht="12.75">
      <c r="A55" s="338" t="s">
        <v>690</v>
      </c>
      <c r="B55" s="307" t="s">
        <v>689</v>
      </c>
      <c r="C55" s="308"/>
      <c r="D55" s="385">
        <v>50</v>
      </c>
      <c r="E55" s="309" t="s">
        <v>15</v>
      </c>
      <c r="F55" s="310">
        <f>D55*400</f>
        <v>20000</v>
      </c>
      <c r="G55" s="310">
        <f t="shared" si="0"/>
        <v>20000</v>
      </c>
      <c r="H55" s="307" t="s">
        <v>1013</v>
      </c>
      <c r="I55" t="s">
        <v>922</v>
      </c>
    </row>
    <row r="56" spans="1:8" ht="12.75">
      <c r="A56" s="302">
        <v>18</v>
      </c>
      <c r="B56" s="352" t="s">
        <v>691</v>
      </c>
      <c r="C56" s="261"/>
      <c r="D56" s="382">
        <f>9a!J44</f>
        <v>0</v>
      </c>
      <c r="E56" s="252"/>
      <c r="F56" s="367">
        <f>SUM(C56:D56)</f>
        <v>0</v>
      </c>
      <c r="G56" s="400">
        <f t="shared" si="0"/>
        <v>0</v>
      </c>
      <c r="H56" s="259" t="s">
        <v>892</v>
      </c>
    </row>
    <row r="57" spans="1:8" ht="13.5" thickBot="1">
      <c r="A57" s="353">
        <v>19</v>
      </c>
      <c r="B57" s="354" t="s">
        <v>692</v>
      </c>
      <c r="C57" s="314"/>
      <c r="D57" s="383">
        <f>'10'!J60</f>
        <v>0</v>
      </c>
      <c r="E57" s="315"/>
      <c r="F57" s="370">
        <f>SUM(C57:D57)</f>
        <v>0</v>
      </c>
      <c r="G57" s="401">
        <f t="shared" si="0"/>
        <v>0</v>
      </c>
      <c r="H57" s="313" t="s">
        <v>893</v>
      </c>
    </row>
    <row r="58" spans="1:8" ht="12.75">
      <c r="A58" s="338">
        <v>20</v>
      </c>
      <c r="B58" s="307" t="s">
        <v>884</v>
      </c>
      <c r="C58" s="308"/>
      <c r="D58" s="385"/>
      <c r="E58" s="309"/>
      <c r="F58" s="310"/>
      <c r="G58" s="245">
        <f>F59+F60+F61+F63+F62</f>
        <v>42170</v>
      </c>
      <c r="H58" s="307"/>
    </row>
    <row r="59" spans="1:9" ht="12.75">
      <c r="A59" s="302"/>
      <c r="B59" s="259" t="s">
        <v>693</v>
      </c>
      <c r="C59" s="261"/>
      <c r="D59" s="382">
        <v>282</v>
      </c>
      <c r="E59" s="252" t="s">
        <v>15</v>
      </c>
      <c r="F59" s="245">
        <v>22000</v>
      </c>
      <c r="G59" s="404"/>
      <c r="H59" s="259"/>
      <c r="I59" t="s">
        <v>922</v>
      </c>
    </row>
    <row r="60" spans="1:9" ht="12.75">
      <c r="A60" s="302"/>
      <c r="B60" s="259" t="s">
        <v>694</v>
      </c>
      <c r="C60" s="261"/>
      <c r="D60" s="382">
        <v>1500</v>
      </c>
      <c r="E60" s="252" t="s">
        <v>16</v>
      </c>
      <c r="F60" s="245">
        <f>D60*7</f>
        <v>10500</v>
      </c>
      <c r="G60" s="400"/>
      <c r="H60" s="259"/>
      <c r="I60" t="s">
        <v>922</v>
      </c>
    </row>
    <row r="61" spans="1:9" ht="12.75">
      <c r="A61" s="302"/>
      <c r="B61" s="259" t="s">
        <v>695</v>
      </c>
      <c r="C61" s="261"/>
      <c r="D61" s="382">
        <v>4500</v>
      </c>
      <c r="E61" s="252" t="s">
        <v>15</v>
      </c>
      <c r="F61" s="245">
        <f>SUM(C61:D61)</f>
        <v>4500</v>
      </c>
      <c r="G61" s="400"/>
      <c r="H61" s="259"/>
      <c r="I61" t="s">
        <v>922</v>
      </c>
    </row>
    <row r="62" spans="1:9" ht="12.75">
      <c r="A62" s="302"/>
      <c r="B62" s="259" t="s">
        <v>696</v>
      </c>
      <c r="C62" s="261"/>
      <c r="D62" s="382">
        <v>94</v>
      </c>
      <c r="E62" s="252" t="s">
        <v>15</v>
      </c>
      <c r="F62" s="245">
        <f>D62*25</f>
        <v>2350</v>
      </c>
      <c r="G62" s="400"/>
      <c r="H62" s="259"/>
      <c r="I62" t="s">
        <v>922</v>
      </c>
    </row>
    <row r="63" spans="1:9" ht="13.5" thickBot="1">
      <c r="A63" s="353"/>
      <c r="B63" s="313" t="s">
        <v>697</v>
      </c>
      <c r="C63" s="314"/>
      <c r="D63" s="383">
        <v>94</v>
      </c>
      <c r="E63" s="315" t="s">
        <v>15</v>
      </c>
      <c r="F63" s="316">
        <f>D63*30</f>
        <v>2820</v>
      </c>
      <c r="G63" s="401"/>
      <c r="H63" s="313"/>
      <c r="I63" t="s">
        <v>922</v>
      </c>
    </row>
    <row r="64" spans="1:8" ht="12.75">
      <c r="A64" s="342"/>
      <c r="B64" s="343"/>
      <c r="C64" s="308"/>
      <c r="D64" s="385"/>
      <c r="E64" s="309"/>
      <c r="F64" s="310"/>
      <c r="G64" s="310"/>
      <c r="H64" s="307"/>
    </row>
    <row r="65" spans="1:8" ht="13.5" thickBot="1">
      <c r="A65" s="457" t="s">
        <v>698</v>
      </c>
      <c r="B65" s="458"/>
      <c r="C65" s="349"/>
      <c r="D65" s="387"/>
      <c r="E65" s="339"/>
      <c r="F65" s="340"/>
      <c r="G65" s="340"/>
      <c r="H65" s="341"/>
    </row>
    <row r="66" spans="1:9" ht="13.5" thickTop="1">
      <c r="A66" s="338">
        <v>1</v>
      </c>
      <c r="B66" s="307" t="s">
        <v>951</v>
      </c>
      <c r="C66" s="308"/>
      <c r="D66" s="385">
        <v>51000</v>
      </c>
      <c r="E66" s="309" t="s">
        <v>14</v>
      </c>
      <c r="F66" s="310">
        <f>D66*1</f>
        <v>51000</v>
      </c>
      <c r="G66" s="310">
        <f t="shared" si="0"/>
        <v>51000</v>
      </c>
      <c r="H66" s="307" t="s">
        <v>928</v>
      </c>
      <c r="I66" t="s">
        <v>922</v>
      </c>
    </row>
    <row r="67" spans="1:8" ht="12.75">
      <c r="A67" s="342"/>
      <c r="B67" s="343"/>
      <c r="C67" s="308"/>
      <c r="D67" s="385"/>
      <c r="E67" s="309"/>
      <c r="F67" s="310"/>
      <c r="G67" s="310"/>
      <c r="H67" s="307"/>
    </row>
    <row r="68" spans="1:8" ht="13.5" thickBot="1">
      <c r="A68" s="457" t="s">
        <v>699</v>
      </c>
      <c r="B68" s="458"/>
      <c r="C68" s="349"/>
      <c r="D68" s="387"/>
      <c r="E68" s="339"/>
      <c r="F68" s="340"/>
      <c r="G68" s="340"/>
      <c r="H68" s="341"/>
    </row>
    <row r="69" spans="1:9" ht="13.5" thickTop="1">
      <c r="A69" s="338">
        <v>2</v>
      </c>
      <c r="B69" s="307" t="s">
        <v>701</v>
      </c>
      <c r="C69" s="308"/>
      <c r="D69" s="385">
        <v>12</v>
      </c>
      <c r="E69" s="309" t="s">
        <v>15</v>
      </c>
      <c r="F69" s="310">
        <f>D69*800</f>
        <v>9600</v>
      </c>
      <c r="G69" s="310">
        <f>F69+F70</f>
        <v>12000</v>
      </c>
      <c r="H69" s="307"/>
      <c r="I69" t="s">
        <v>922</v>
      </c>
    </row>
    <row r="70" spans="1:9" ht="13.5" thickBot="1">
      <c r="A70" s="353"/>
      <c r="B70" s="313" t="s">
        <v>700</v>
      </c>
      <c r="C70" s="314"/>
      <c r="D70" s="383">
        <v>12</v>
      </c>
      <c r="E70" s="315" t="s">
        <v>15</v>
      </c>
      <c r="F70" s="316">
        <f>D70*200</f>
        <v>2400</v>
      </c>
      <c r="G70" s="401"/>
      <c r="H70" s="313"/>
      <c r="I70" t="s">
        <v>922</v>
      </c>
    </row>
    <row r="71" spans="1:9" ht="13.5" thickBot="1">
      <c r="A71" s="355">
        <v>3</v>
      </c>
      <c r="B71" s="319" t="s">
        <v>702</v>
      </c>
      <c r="C71" s="320"/>
      <c r="D71" s="384">
        <v>7</v>
      </c>
      <c r="E71" s="321" t="s">
        <v>15</v>
      </c>
      <c r="F71" s="322">
        <f>D71*2200</f>
        <v>15400</v>
      </c>
      <c r="G71" s="322">
        <f t="shared" si="0"/>
        <v>15400</v>
      </c>
      <c r="H71" s="319"/>
      <c r="I71" t="s">
        <v>922</v>
      </c>
    </row>
    <row r="72" spans="1:9" ht="13.5" thickBot="1">
      <c r="A72" s="355">
        <v>5</v>
      </c>
      <c r="B72" s="319" t="s">
        <v>703</v>
      </c>
      <c r="C72" s="320"/>
      <c r="D72" s="384">
        <v>1</v>
      </c>
      <c r="E72" s="321" t="s">
        <v>17</v>
      </c>
      <c r="F72" s="322">
        <f>D72*5000</f>
        <v>5000</v>
      </c>
      <c r="G72" s="322">
        <f t="shared" si="0"/>
        <v>5000</v>
      </c>
      <c r="H72" s="319"/>
      <c r="I72" t="s">
        <v>922</v>
      </c>
    </row>
    <row r="73" spans="1:9" ht="13.5" thickBot="1">
      <c r="A73" s="355">
        <v>7</v>
      </c>
      <c r="B73" s="319" t="s">
        <v>704</v>
      </c>
      <c r="C73" s="320"/>
      <c r="D73" s="384">
        <v>1840</v>
      </c>
      <c r="E73" s="321" t="s">
        <v>14</v>
      </c>
      <c r="F73" s="322">
        <f>D73*10</f>
        <v>18400</v>
      </c>
      <c r="G73" s="322">
        <f t="shared" si="0"/>
        <v>18400</v>
      </c>
      <c r="H73" s="319"/>
      <c r="I73" t="s">
        <v>922</v>
      </c>
    </row>
    <row r="74" spans="1:9" ht="12.75">
      <c r="A74" s="338">
        <v>8</v>
      </c>
      <c r="B74" s="307" t="s">
        <v>705</v>
      </c>
      <c r="C74" s="308"/>
      <c r="D74" s="385">
        <v>6600</v>
      </c>
      <c r="E74" s="309" t="s">
        <v>14</v>
      </c>
      <c r="F74" s="310">
        <f>D74*1</f>
        <v>6600</v>
      </c>
      <c r="G74" s="310">
        <f>F74+F75+F76</f>
        <v>19200</v>
      </c>
      <c r="H74" s="307"/>
      <c r="I74" t="s">
        <v>922</v>
      </c>
    </row>
    <row r="75" spans="1:8" ht="12.75">
      <c r="A75" s="380"/>
      <c r="B75" s="294" t="s">
        <v>929</v>
      </c>
      <c r="C75" s="357"/>
      <c r="D75" s="381">
        <v>12</v>
      </c>
      <c r="E75" s="331" t="s">
        <v>930</v>
      </c>
      <c r="F75" s="332">
        <f>D75*1000</f>
        <v>12000</v>
      </c>
      <c r="G75" s="405"/>
      <c r="H75" s="294"/>
    </row>
    <row r="76" spans="1:8" ht="13.5" thickBot="1">
      <c r="A76" s="353"/>
      <c r="B76" s="313" t="s">
        <v>706</v>
      </c>
      <c r="C76" s="314"/>
      <c r="D76" s="383">
        <v>300</v>
      </c>
      <c r="E76" s="315" t="s">
        <v>14</v>
      </c>
      <c r="F76" s="316">
        <f>D76*2</f>
        <v>600</v>
      </c>
      <c r="G76" s="401"/>
      <c r="H76" s="313"/>
    </row>
    <row r="77" spans="1:8" ht="12.75">
      <c r="A77" s="342"/>
      <c r="B77" s="343"/>
      <c r="C77" s="308"/>
      <c r="D77" s="385"/>
      <c r="E77" s="309"/>
      <c r="F77" s="310"/>
      <c r="G77" s="310"/>
      <c r="H77" s="307"/>
    </row>
    <row r="78" spans="1:8" ht="13.5" thickBot="1">
      <c r="A78" s="457" t="s">
        <v>707</v>
      </c>
      <c r="B78" s="458"/>
      <c r="C78" s="349"/>
      <c r="D78" s="387"/>
      <c r="E78" s="339"/>
      <c r="F78" s="340"/>
      <c r="G78" s="340"/>
      <c r="H78" s="341"/>
    </row>
    <row r="79" spans="1:9" ht="13.5" thickTop="1">
      <c r="A79" s="338"/>
      <c r="B79" s="307" t="s">
        <v>708</v>
      </c>
      <c r="C79" s="308"/>
      <c r="D79" s="385">
        <v>1</v>
      </c>
      <c r="E79" s="309" t="s">
        <v>17</v>
      </c>
      <c r="F79" s="310">
        <f>D79*4000</f>
        <v>4000</v>
      </c>
      <c r="G79" s="363">
        <f t="shared" si="0"/>
        <v>4000</v>
      </c>
      <c r="H79" s="307" t="s">
        <v>882</v>
      </c>
      <c r="I79" t="s">
        <v>922</v>
      </c>
    </row>
    <row r="80" spans="1:9" ht="13.5" thickBot="1">
      <c r="A80" s="353">
        <v>1</v>
      </c>
      <c r="B80" s="313" t="s">
        <v>709</v>
      </c>
      <c r="C80" s="314"/>
      <c r="D80" s="383">
        <v>17700</v>
      </c>
      <c r="E80" s="315" t="s">
        <v>14</v>
      </c>
      <c r="F80" s="316">
        <f>D80*7</f>
        <v>123900</v>
      </c>
      <c r="G80" s="399">
        <f t="shared" si="0"/>
        <v>123900</v>
      </c>
      <c r="H80" s="313"/>
      <c r="I80" t="s">
        <v>922</v>
      </c>
    </row>
    <row r="81" spans="1:9" ht="12.75">
      <c r="A81" s="338">
        <v>2</v>
      </c>
      <c r="B81" s="307" t="s">
        <v>710</v>
      </c>
      <c r="C81" s="308"/>
      <c r="D81" s="385">
        <v>6700</v>
      </c>
      <c r="E81" s="309" t="s">
        <v>16</v>
      </c>
      <c r="F81" s="445">
        <f>D81*7</f>
        <v>46900</v>
      </c>
      <c r="G81" s="310">
        <f>F81+F82+F83+F84+F85+F86</f>
        <v>255800</v>
      </c>
      <c r="H81" s="307"/>
      <c r="I81" t="s">
        <v>922</v>
      </c>
    </row>
    <row r="82" spans="1:9" ht="12.75">
      <c r="A82" s="302"/>
      <c r="B82" s="259" t="s">
        <v>711</v>
      </c>
      <c r="C82" s="261"/>
      <c r="D82" s="382">
        <v>3350</v>
      </c>
      <c r="E82" s="252" t="s">
        <v>16</v>
      </c>
      <c r="F82" s="447">
        <f>D82*18</f>
        <v>60300</v>
      </c>
      <c r="G82" s="400"/>
      <c r="H82" s="259"/>
      <c r="I82" s="45"/>
    </row>
    <row r="83" spans="1:8" ht="12.75">
      <c r="A83" s="302"/>
      <c r="B83" s="259" t="s">
        <v>1024</v>
      </c>
      <c r="C83" s="261"/>
      <c r="D83" s="382">
        <v>3350</v>
      </c>
      <c r="E83" s="252" t="s">
        <v>16</v>
      </c>
      <c r="F83" s="447">
        <f>D83*8</f>
        <v>26800</v>
      </c>
      <c r="G83" s="400"/>
      <c r="H83" s="259"/>
    </row>
    <row r="84" spans="1:8" ht="12.75">
      <c r="A84" s="302"/>
      <c r="B84" s="259" t="s">
        <v>712</v>
      </c>
      <c r="C84" s="261"/>
      <c r="D84" s="382">
        <v>60000</v>
      </c>
      <c r="E84" s="252" t="s">
        <v>14</v>
      </c>
      <c r="F84" s="245">
        <f>D84*0.65</f>
        <v>39000</v>
      </c>
      <c r="G84" s="400"/>
      <c r="H84" s="259"/>
    </row>
    <row r="85" spans="1:8" ht="12.75">
      <c r="A85" s="302"/>
      <c r="B85" s="259" t="s">
        <v>713</v>
      </c>
      <c r="C85" s="261"/>
      <c r="D85" s="382">
        <v>144</v>
      </c>
      <c r="E85" s="252" t="s">
        <v>15</v>
      </c>
      <c r="F85" s="245">
        <f>D85*325</f>
        <v>46800</v>
      </c>
      <c r="G85" s="400"/>
      <c r="H85" s="259"/>
    </row>
    <row r="86" spans="1:8" ht="13.5" thickBot="1">
      <c r="A86" s="353"/>
      <c r="B86" s="313" t="s">
        <v>714</v>
      </c>
      <c r="C86" s="314"/>
      <c r="D86" s="383">
        <v>144</v>
      </c>
      <c r="E86" s="315" t="s">
        <v>15</v>
      </c>
      <c r="F86" s="316">
        <f>D86*250</f>
        <v>36000</v>
      </c>
      <c r="G86" s="401"/>
      <c r="H86" s="313"/>
    </row>
    <row r="87" spans="1:9" ht="13.5" thickBot="1">
      <c r="A87" s="355">
        <v>3</v>
      </c>
      <c r="B87" s="319" t="s">
        <v>715</v>
      </c>
      <c r="C87" s="320"/>
      <c r="D87" s="384">
        <f>'10'!J86</f>
        <v>0</v>
      </c>
      <c r="E87" s="321"/>
      <c r="F87" s="366">
        <f>SUM(C87:D87)</f>
        <v>0</v>
      </c>
      <c r="G87" s="402">
        <f>F87</f>
        <v>0</v>
      </c>
      <c r="H87" s="319" t="s">
        <v>894</v>
      </c>
      <c r="I87" t="s">
        <v>922</v>
      </c>
    </row>
    <row r="88" spans="1:9" ht="13.5" thickBot="1">
      <c r="A88" s="355">
        <v>4</v>
      </c>
      <c r="B88" s="319" t="s">
        <v>716</v>
      </c>
      <c r="C88" s="320"/>
      <c r="D88" s="384">
        <v>1900</v>
      </c>
      <c r="E88" s="321" t="s">
        <v>16</v>
      </c>
      <c r="F88" s="322">
        <f>D88*8</f>
        <v>15200</v>
      </c>
      <c r="G88" s="444">
        <f>F88</f>
        <v>15200</v>
      </c>
      <c r="H88" s="319"/>
      <c r="I88" t="s">
        <v>922</v>
      </c>
    </row>
    <row r="89" spans="1:9" ht="12.75">
      <c r="A89" s="408">
        <v>5</v>
      </c>
      <c r="B89" s="393"/>
      <c r="C89" s="394"/>
      <c r="D89" s="395"/>
      <c r="E89" s="396"/>
      <c r="F89" s="397"/>
      <c r="G89" s="446">
        <f>F90+F91+F92</f>
        <v>41075</v>
      </c>
      <c r="H89" s="393"/>
      <c r="I89" t="s">
        <v>922</v>
      </c>
    </row>
    <row r="90" spans="1:8" ht="12.75">
      <c r="A90" s="338"/>
      <c r="B90" s="307" t="s">
        <v>717</v>
      </c>
      <c r="C90" s="308"/>
      <c r="D90" s="385">
        <v>5570</v>
      </c>
      <c r="E90" s="309" t="s">
        <v>14</v>
      </c>
      <c r="F90" s="310">
        <f>D90*2.5</f>
        <v>13925</v>
      </c>
      <c r="G90" s="404"/>
      <c r="H90" s="307"/>
    </row>
    <row r="91" spans="1:8" ht="12.75">
      <c r="A91" s="302"/>
      <c r="B91" s="259" t="s">
        <v>718</v>
      </c>
      <c r="C91" s="261"/>
      <c r="D91" s="382">
        <v>4200</v>
      </c>
      <c r="E91" s="252" t="s">
        <v>14</v>
      </c>
      <c r="F91" s="245">
        <f>D91*1.5</f>
        <v>6300</v>
      </c>
      <c r="G91" s="400"/>
      <c r="H91" s="259"/>
    </row>
    <row r="92" spans="1:8" ht="13.5" thickBot="1">
      <c r="A92" s="353"/>
      <c r="B92" s="313" t="s">
        <v>719</v>
      </c>
      <c r="C92" s="314"/>
      <c r="D92" s="383">
        <v>27800</v>
      </c>
      <c r="E92" s="315" t="s">
        <v>14</v>
      </c>
      <c r="F92" s="316">
        <f>D92*0.75</f>
        <v>20850</v>
      </c>
      <c r="G92" s="401"/>
      <c r="H92" s="313"/>
    </row>
    <row r="93" spans="1:9" ht="13.5" thickBot="1">
      <c r="A93" s="355">
        <v>6</v>
      </c>
      <c r="B93" s="319" t="s">
        <v>720</v>
      </c>
      <c r="C93" s="320"/>
      <c r="D93" s="384">
        <v>300</v>
      </c>
      <c r="E93" s="321" t="s">
        <v>15</v>
      </c>
      <c r="F93" s="322">
        <f>D93*340</f>
        <v>102000</v>
      </c>
      <c r="G93" s="322">
        <f aca="true" t="shared" si="1" ref="G93:G99">F93</f>
        <v>102000</v>
      </c>
      <c r="H93" s="319" t="s">
        <v>895</v>
      </c>
      <c r="I93" t="s">
        <v>922</v>
      </c>
    </row>
    <row r="94" spans="1:9" ht="13.5" thickBot="1">
      <c r="A94" s="355">
        <v>7</v>
      </c>
      <c r="B94" s="319" t="s">
        <v>721</v>
      </c>
      <c r="C94" s="320"/>
      <c r="D94" s="384">
        <f>'10'!J92</f>
        <v>0</v>
      </c>
      <c r="E94" s="321"/>
      <c r="F94" s="366">
        <f>SUM(C94:D94)</f>
        <v>0</v>
      </c>
      <c r="G94" s="402">
        <f t="shared" si="1"/>
        <v>0</v>
      </c>
      <c r="H94" s="319" t="s">
        <v>885</v>
      </c>
      <c r="I94" s="45" t="s">
        <v>922</v>
      </c>
    </row>
    <row r="95" spans="1:9" ht="13.5" thickBot="1">
      <c r="A95" s="355">
        <v>8</v>
      </c>
      <c r="B95" s="350" t="s">
        <v>722</v>
      </c>
      <c r="C95" s="320"/>
      <c r="D95" s="384">
        <f>'10'!J93</f>
        <v>0</v>
      </c>
      <c r="E95" s="321"/>
      <c r="F95" s="366">
        <f>SUM(C95:D95)</f>
        <v>0</v>
      </c>
      <c r="G95" s="402">
        <f t="shared" si="1"/>
        <v>0</v>
      </c>
      <c r="H95" s="319" t="s">
        <v>931</v>
      </c>
      <c r="I95" t="s">
        <v>922</v>
      </c>
    </row>
    <row r="96" spans="1:9" ht="13.5" thickBot="1">
      <c r="A96" s="355">
        <v>9</v>
      </c>
      <c r="B96" s="319" t="s">
        <v>932</v>
      </c>
      <c r="C96" s="320"/>
      <c r="D96" s="384">
        <v>17200</v>
      </c>
      <c r="E96" s="321" t="s">
        <v>14</v>
      </c>
      <c r="F96" s="321">
        <f>D96*0.5</f>
        <v>8600</v>
      </c>
      <c r="G96" s="322">
        <f t="shared" si="1"/>
        <v>8600</v>
      </c>
      <c r="H96" s="319"/>
      <c r="I96" t="s">
        <v>922</v>
      </c>
    </row>
    <row r="97" spans="1:9" ht="13.5" thickBot="1">
      <c r="A97" s="355">
        <v>10</v>
      </c>
      <c r="B97" s="319" t="s">
        <v>723</v>
      </c>
      <c r="C97" s="320"/>
      <c r="D97" s="384">
        <f>'10'!J95</f>
        <v>0</v>
      </c>
      <c r="E97" s="321"/>
      <c r="F97" s="366">
        <v>0</v>
      </c>
      <c r="G97" s="402">
        <f t="shared" si="1"/>
        <v>0</v>
      </c>
      <c r="H97" s="319" t="s">
        <v>383</v>
      </c>
      <c r="I97" t="s">
        <v>922</v>
      </c>
    </row>
    <row r="98" spans="1:9" ht="13.5" thickBot="1">
      <c r="A98" s="355">
        <v>11</v>
      </c>
      <c r="B98" s="319" t="s">
        <v>933</v>
      </c>
      <c r="C98" s="320"/>
      <c r="D98" s="384">
        <v>1900</v>
      </c>
      <c r="E98" s="321" t="s">
        <v>16</v>
      </c>
      <c r="F98" s="321">
        <f>D98*8</f>
        <v>15200</v>
      </c>
      <c r="G98" s="322">
        <f t="shared" si="1"/>
        <v>15200</v>
      </c>
      <c r="H98" s="319"/>
      <c r="I98" t="s">
        <v>922</v>
      </c>
    </row>
    <row r="99" spans="1:9" ht="13.5" thickBot="1">
      <c r="A99" s="355">
        <v>12</v>
      </c>
      <c r="B99" s="319" t="s">
        <v>724</v>
      </c>
      <c r="C99" s="320"/>
      <c r="D99" s="384">
        <v>315</v>
      </c>
      <c r="E99" s="321" t="s">
        <v>15</v>
      </c>
      <c r="F99" s="322">
        <f>D99*150</f>
        <v>47250</v>
      </c>
      <c r="G99" s="322">
        <f t="shared" si="1"/>
        <v>47250</v>
      </c>
      <c r="H99" s="319" t="s">
        <v>934</v>
      </c>
      <c r="I99" t="s">
        <v>922</v>
      </c>
    </row>
    <row r="100" spans="1:8" ht="12.75">
      <c r="A100" s="342"/>
      <c r="B100" s="343"/>
      <c r="C100" s="308"/>
      <c r="D100" s="385"/>
      <c r="E100" s="309"/>
      <c r="F100" s="310"/>
      <c r="G100" s="310"/>
      <c r="H100" s="307"/>
    </row>
    <row r="101" spans="1:8" ht="13.5" thickBot="1">
      <c r="A101" s="457" t="s">
        <v>725</v>
      </c>
      <c r="B101" s="458"/>
      <c r="C101" s="349"/>
      <c r="D101" s="387"/>
      <c r="E101" s="339"/>
      <c r="F101" s="340"/>
      <c r="G101" s="340"/>
      <c r="H101" s="341"/>
    </row>
    <row r="102" spans="1:9" ht="13.5" thickTop="1">
      <c r="A102" s="338">
        <v>1</v>
      </c>
      <c r="B102" s="307" t="s">
        <v>726</v>
      </c>
      <c r="C102" s="308"/>
      <c r="D102" s="385">
        <v>16</v>
      </c>
      <c r="E102" s="309" t="s">
        <v>15</v>
      </c>
      <c r="F102" s="310">
        <f>D102*1500</f>
        <v>24000</v>
      </c>
      <c r="G102" s="310">
        <f>F102+F103+F104+F105+F106</f>
        <v>102800</v>
      </c>
      <c r="H102" s="307" t="s">
        <v>935</v>
      </c>
      <c r="I102" s="45" t="s">
        <v>922</v>
      </c>
    </row>
    <row r="103" spans="1:9" ht="12.75">
      <c r="A103" s="302"/>
      <c r="B103" s="259" t="s">
        <v>727</v>
      </c>
      <c r="C103" s="261"/>
      <c r="D103" s="382">
        <v>38</v>
      </c>
      <c r="E103" s="252" t="s">
        <v>15</v>
      </c>
      <c r="F103" s="245">
        <f>D103*350</f>
        <v>13300</v>
      </c>
      <c r="G103" s="400"/>
      <c r="H103" s="259" t="s">
        <v>896</v>
      </c>
      <c r="I103" t="s">
        <v>922</v>
      </c>
    </row>
    <row r="104" spans="1:9" ht="12.75">
      <c r="A104" s="302"/>
      <c r="B104" s="259" t="s">
        <v>1014</v>
      </c>
      <c r="C104" s="261"/>
      <c r="D104" s="382">
        <v>38</v>
      </c>
      <c r="E104" s="252" t="s">
        <v>15</v>
      </c>
      <c r="F104" s="245">
        <f>D104*900</f>
        <v>34200</v>
      </c>
      <c r="G104" s="400"/>
      <c r="H104" s="259"/>
      <c r="I104" t="s">
        <v>923</v>
      </c>
    </row>
    <row r="105" spans="1:9" ht="12.75">
      <c r="A105" s="302"/>
      <c r="B105" s="259" t="s">
        <v>728</v>
      </c>
      <c r="C105" s="261"/>
      <c r="D105" s="382">
        <v>82</v>
      </c>
      <c r="E105" s="252" t="s">
        <v>15</v>
      </c>
      <c r="F105" s="245">
        <f>D105*100</f>
        <v>8200</v>
      </c>
      <c r="G105" s="400"/>
      <c r="H105" s="259" t="s">
        <v>901</v>
      </c>
      <c r="I105" t="s">
        <v>922</v>
      </c>
    </row>
    <row r="106" spans="1:9" ht="13.5" thickBot="1">
      <c r="A106" s="353"/>
      <c r="B106" s="313" t="s">
        <v>729</v>
      </c>
      <c r="C106" s="314"/>
      <c r="D106" s="383">
        <v>66</v>
      </c>
      <c r="E106" s="315" t="s">
        <v>15</v>
      </c>
      <c r="F106" s="316">
        <f>D106*350</f>
        <v>23100</v>
      </c>
      <c r="G106" s="401"/>
      <c r="H106" s="313" t="s">
        <v>902</v>
      </c>
      <c r="I106" t="s">
        <v>922</v>
      </c>
    </row>
    <row r="107" spans="1:9" ht="13.5" thickBot="1">
      <c r="A107" s="355">
        <v>2</v>
      </c>
      <c r="B107" s="319" t="s">
        <v>730</v>
      </c>
      <c r="C107" s="320"/>
      <c r="D107" s="384">
        <v>2</v>
      </c>
      <c r="E107" s="321" t="s">
        <v>936</v>
      </c>
      <c r="F107" s="322">
        <f>D107*24500</f>
        <v>49000</v>
      </c>
      <c r="G107" s="322">
        <f>F107</f>
        <v>49000</v>
      </c>
      <c r="H107" s="319" t="s">
        <v>937</v>
      </c>
      <c r="I107" t="s">
        <v>922</v>
      </c>
    </row>
    <row r="108" spans="1:9" ht="13.5" thickBot="1">
      <c r="A108" s="355">
        <v>6</v>
      </c>
      <c r="B108" s="319" t="s">
        <v>731</v>
      </c>
      <c r="C108" s="320"/>
      <c r="D108" s="384">
        <v>7</v>
      </c>
      <c r="E108" s="321" t="s">
        <v>15</v>
      </c>
      <c r="F108" s="322">
        <f>D108*325</f>
        <v>2275</v>
      </c>
      <c r="G108" s="322">
        <f>F108</f>
        <v>2275</v>
      </c>
      <c r="H108" s="319"/>
      <c r="I108" t="s">
        <v>922</v>
      </c>
    </row>
    <row r="109" spans="1:8" ht="12.75">
      <c r="A109" s="342"/>
      <c r="B109" s="343"/>
      <c r="C109" s="308"/>
      <c r="D109" s="385"/>
      <c r="E109" s="309"/>
      <c r="F109" s="310"/>
      <c r="G109" s="310"/>
      <c r="H109" s="307"/>
    </row>
    <row r="110" spans="1:8" ht="13.5" thickBot="1">
      <c r="A110" s="457" t="s">
        <v>732</v>
      </c>
      <c r="B110" s="458"/>
      <c r="C110" s="349"/>
      <c r="D110" s="387"/>
      <c r="E110" s="339"/>
      <c r="F110" s="340"/>
      <c r="G110" s="340"/>
      <c r="H110" s="341"/>
    </row>
    <row r="111" spans="1:9" ht="14.25" thickBot="1" thickTop="1">
      <c r="A111" s="344">
        <v>1</v>
      </c>
      <c r="B111" s="345" t="s">
        <v>733</v>
      </c>
      <c r="C111" s="359"/>
      <c r="D111" s="388">
        <v>144</v>
      </c>
      <c r="E111" s="346" t="s">
        <v>15</v>
      </c>
      <c r="F111" s="347">
        <f>D111*500</f>
        <v>72000</v>
      </c>
      <c r="G111" s="347">
        <f>F111</f>
        <v>72000</v>
      </c>
      <c r="H111" s="345"/>
      <c r="I111" t="s">
        <v>922</v>
      </c>
    </row>
    <row r="112" spans="1:8" ht="13.5" thickBot="1">
      <c r="A112" s="355">
        <v>3</v>
      </c>
      <c r="B112" s="319" t="s">
        <v>734</v>
      </c>
      <c r="C112" s="320"/>
      <c r="D112" s="384">
        <f>'10'!J48</f>
        <v>0</v>
      </c>
      <c r="E112" s="321"/>
      <c r="F112" s="321" t="s">
        <v>886</v>
      </c>
      <c r="G112" s="322" t="str">
        <f>F112</f>
        <v>inc </v>
      </c>
      <c r="H112" s="319"/>
    </row>
    <row r="113" spans="1:9" ht="12.75">
      <c r="A113" s="342"/>
      <c r="B113" s="343"/>
      <c r="C113" s="308"/>
      <c r="D113" s="385"/>
      <c r="E113" s="309"/>
      <c r="F113" s="310"/>
      <c r="G113" s="310"/>
      <c r="H113" s="307"/>
      <c r="I113" s="45"/>
    </row>
    <row r="114" spans="1:8" ht="13.5" thickBot="1">
      <c r="A114" s="457" t="s">
        <v>735</v>
      </c>
      <c r="B114" s="458"/>
      <c r="C114" s="349"/>
      <c r="D114" s="387"/>
      <c r="E114" s="339"/>
      <c r="F114" s="340"/>
      <c r="G114" s="340"/>
      <c r="H114" s="341"/>
    </row>
    <row r="115" spans="1:9" ht="13.5" thickTop="1">
      <c r="A115" s="338">
        <v>1</v>
      </c>
      <c r="B115" s="307" t="s">
        <v>918</v>
      </c>
      <c r="C115" s="308"/>
      <c r="D115" s="385">
        <v>1</v>
      </c>
      <c r="E115" s="309" t="s">
        <v>17</v>
      </c>
      <c r="F115" s="310">
        <f>D115*5000</f>
        <v>5000</v>
      </c>
      <c r="G115" s="310">
        <f>F115++F116+F117</f>
        <v>28000</v>
      </c>
      <c r="H115" s="307"/>
      <c r="I115" t="s">
        <v>922</v>
      </c>
    </row>
    <row r="116" spans="1:8" ht="12.75">
      <c r="A116" s="380"/>
      <c r="B116" s="294" t="s">
        <v>912</v>
      </c>
      <c r="C116" s="357"/>
      <c r="D116" s="381">
        <v>160</v>
      </c>
      <c r="E116" s="381" t="s">
        <v>15</v>
      </c>
      <c r="F116" s="332">
        <f>D116*50</f>
        <v>8000</v>
      </c>
      <c r="G116" s="405"/>
      <c r="H116" s="294"/>
    </row>
    <row r="117" spans="1:8" ht="13.5" thickBot="1">
      <c r="A117" s="353"/>
      <c r="B117" s="313" t="s">
        <v>736</v>
      </c>
      <c r="C117" s="314"/>
      <c r="D117" s="383">
        <v>1</v>
      </c>
      <c r="E117" s="315" t="s">
        <v>17</v>
      </c>
      <c r="F117" s="316">
        <f>D117*15000</f>
        <v>15000</v>
      </c>
      <c r="G117" s="401"/>
      <c r="H117" s="313"/>
    </row>
    <row r="118" spans="1:9" ht="13.5" thickBot="1">
      <c r="A118" s="355">
        <v>3</v>
      </c>
      <c r="B118" s="319" t="s">
        <v>737</v>
      </c>
      <c r="C118" s="320"/>
      <c r="D118" s="384">
        <v>213</v>
      </c>
      <c r="E118" s="321" t="s">
        <v>14</v>
      </c>
      <c r="F118" s="322">
        <f>D118*65</f>
        <v>13845</v>
      </c>
      <c r="G118" s="322">
        <f>F118</f>
        <v>13845</v>
      </c>
      <c r="H118" s="319"/>
      <c r="I118" t="s">
        <v>922</v>
      </c>
    </row>
    <row r="119" spans="1:9" ht="13.5" thickBot="1">
      <c r="A119" s="355">
        <v>4</v>
      </c>
      <c r="B119" s="319" t="s">
        <v>738</v>
      </c>
      <c r="C119" s="320"/>
      <c r="D119" s="384">
        <v>1</v>
      </c>
      <c r="E119" s="321" t="s">
        <v>17</v>
      </c>
      <c r="F119" s="322">
        <f>D119*25000</f>
        <v>25000</v>
      </c>
      <c r="G119" s="322">
        <f>F119</f>
        <v>25000</v>
      </c>
      <c r="H119" s="319"/>
      <c r="I119" t="s">
        <v>922</v>
      </c>
    </row>
    <row r="120" spans="1:9" ht="12.75">
      <c r="A120" s="338">
        <v>5</v>
      </c>
      <c r="B120" s="307" t="s">
        <v>938</v>
      </c>
      <c r="C120" s="308"/>
      <c r="D120" s="385"/>
      <c r="E120" s="309"/>
      <c r="F120" s="310"/>
      <c r="G120" s="310">
        <f>F120+F121+F122+F123+F124+F125+F126</f>
        <v>41400</v>
      </c>
      <c r="H120" s="307"/>
      <c r="I120" s="45" t="s">
        <v>922</v>
      </c>
    </row>
    <row r="121" spans="1:8" ht="12.75">
      <c r="A121" s="302"/>
      <c r="B121" s="259" t="s">
        <v>739</v>
      </c>
      <c r="C121" s="261"/>
      <c r="D121" s="382">
        <f>'10'!J55</f>
        <v>0</v>
      </c>
      <c r="E121" s="252"/>
      <c r="F121" s="367">
        <f>D121*0</f>
        <v>0</v>
      </c>
      <c r="G121" s="400"/>
      <c r="H121" s="259" t="s">
        <v>383</v>
      </c>
    </row>
    <row r="122" spans="1:8" ht="12.75">
      <c r="A122" s="302"/>
      <c r="B122" s="259" t="s">
        <v>740</v>
      </c>
      <c r="C122" s="261"/>
      <c r="D122" s="382">
        <v>12</v>
      </c>
      <c r="E122" s="252" t="s">
        <v>15</v>
      </c>
      <c r="F122" s="245">
        <f>D122*500</f>
        <v>6000</v>
      </c>
      <c r="G122" s="400"/>
      <c r="H122" s="259" t="s">
        <v>939</v>
      </c>
    </row>
    <row r="123" spans="1:8" ht="12.75">
      <c r="A123" s="302"/>
      <c r="B123" s="259" t="s">
        <v>741</v>
      </c>
      <c r="C123" s="261"/>
      <c r="D123" s="382">
        <v>2500</v>
      </c>
      <c r="E123" s="252" t="s">
        <v>14</v>
      </c>
      <c r="F123" s="245">
        <f>D123*3</f>
        <v>7500</v>
      </c>
      <c r="G123" s="400"/>
      <c r="H123" s="259"/>
    </row>
    <row r="124" spans="1:8" ht="12.75">
      <c r="A124" s="302"/>
      <c r="B124" s="259" t="s">
        <v>742</v>
      </c>
      <c r="C124" s="261"/>
      <c r="D124" s="382">
        <v>12</v>
      </c>
      <c r="E124" s="252" t="s">
        <v>15</v>
      </c>
      <c r="F124" s="245">
        <f>D124*700</f>
        <v>8400</v>
      </c>
      <c r="G124" s="400"/>
      <c r="H124" s="259" t="s">
        <v>939</v>
      </c>
    </row>
    <row r="125" spans="1:8" ht="12.75">
      <c r="A125" s="302"/>
      <c r="B125" s="259" t="s">
        <v>743</v>
      </c>
      <c r="C125" s="261"/>
      <c r="D125" s="382">
        <v>1</v>
      </c>
      <c r="E125" s="252" t="s">
        <v>17</v>
      </c>
      <c r="F125" s="245">
        <f>D125*2000</f>
        <v>2000</v>
      </c>
      <c r="G125" s="400"/>
      <c r="H125" s="259"/>
    </row>
    <row r="126" spans="1:8" ht="13.5" thickBot="1">
      <c r="A126" s="353"/>
      <c r="B126" s="313" t="s">
        <v>744</v>
      </c>
      <c r="C126" s="314"/>
      <c r="D126" s="383">
        <v>2500</v>
      </c>
      <c r="E126" s="315" t="s">
        <v>14</v>
      </c>
      <c r="F126" s="316">
        <f>D126*7</f>
        <v>17500</v>
      </c>
      <c r="G126" s="401"/>
      <c r="H126" s="313"/>
    </row>
    <row r="127" spans="1:9" ht="12.75">
      <c r="A127" s="338">
        <v>6</v>
      </c>
      <c r="B127" s="307" t="s">
        <v>887</v>
      </c>
      <c r="C127" s="308"/>
      <c r="D127" s="385"/>
      <c r="E127" s="309"/>
      <c r="F127" s="310"/>
      <c r="G127" s="310">
        <f>F128+F129+F130+F131+F132+F133+F134+F135+F136+F137+F138+F139</f>
        <v>28637.5</v>
      </c>
      <c r="H127" s="307"/>
      <c r="I127" t="s">
        <v>922</v>
      </c>
    </row>
    <row r="128" spans="1:8" ht="12.75">
      <c r="A128" s="302"/>
      <c r="B128" s="259" t="s">
        <v>745</v>
      </c>
      <c r="C128" s="261"/>
      <c r="D128" s="382">
        <v>30</v>
      </c>
      <c r="E128" s="382" t="s">
        <v>16</v>
      </c>
      <c r="F128" s="245">
        <f>D128*500</f>
        <v>15000</v>
      </c>
      <c r="G128" s="400"/>
      <c r="H128" s="259"/>
    </row>
    <row r="129" spans="1:8" ht="12.75">
      <c r="A129" s="302"/>
      <c r="B129" s="259" t="s">
        <v>746</v>
      </c>
      <c r="C129" s="261"/>
      <c r="D129" s="382">
        <f>'10'!J63</f>
        <v>0</v>
      </c>
      <c r="E129" s="252"/>
      <c r="F129" s="367">
        <v>0</v>
      </c>
      <c r="G129" s="400"/>
      <c r="H129" s="259" t="s">
        <v>383</v>
      </c>
    </row>
    <row r="130" spans="1:8" ht="12.75">
      <c r="A130" s="302"/>
      <c r="B130" s="259" t="s">
        <v>747</v>
      </c>
      <c r="C130" s="261"/>
      <c r="D130" s="382">
        <v>1</v>
      </c>
      <c r="E130" s="252" t="s">
        <v>15</v>
      </c>
      <c r="F130" s="245">
        <f>D130*2500</f>
        <v>2500</v>
      </c>
      <c r="G130" s="400"/>
      <c r="H130" s="259"/>
    </row>
    <row r="131" spans="1:8" ht="12.75">
      <c r="A131" s="302"/>
      <c r="B131" s="259" t="s">
        <v>748</v>
      </c>
      <c r="C131" s="261"/>
      <c r="D131" s="382">
        <v>1</v>
      </c>
      <c r="E131" s="252" t="s">
        <v>15</v>
      </c>
      <c r="F131" s="245">
        <f>D131*2000</f>
        <v>2000</v>
      </c>
      <c r="G131" s="400"/>
      <c r="H131" s="259"/>
    </row>
    <row r="132" spans="1:8" ht="12.75">
      <c r="A132" s="302"/>
      <c r="B132" s="259" t="s">
        <v>749</v>
      </c>
      <c r="C132" s="261"/>
      <c r="D132" s="382">
        <v>1</v>
      </c>
      <c r="E132" s="252" t="s">
        <v>15</v>
      </c>
      <c r="F132" s="245">
        <f>D132*400</f>
        <v>400</v>
      </c>
      <c r="G132" s="400"/>
      <c r="H132" s="259"/>
    </row>
    <row r="133" spans="1:8" ht="12.75">
      <c r="A133" s="302"/>
      <c r="B133" s="259" t="s">
        <v>750</v>
      </c>
      <c r="C133" s="261"/>
      <c r="D133" s="382">
        <v>1</v>
      </c>
      <c r="E133" s="252" t="s">
        <v>15</v>
      </c>
      <c r="F133" s="245">
        <f>D133*2000</f>
        <v>2000</v>
      </c>
      <c r="G133" s="400"/>
      <c r="H133" s="259"/>
    </row>
    <row r="134" spans="1:8" ht="12.75">
      <c r="A134" s="302"/>
      <c r="B134" s="259" t="s">
        <v>751</v>
      </c>
      <c r="C134" s="261"/>
      <c r="D134" s="382">
        <v>1</v>
      </c>
      <c r="E134" s="252" t="s">
        <v>17</v>
      </c>
      <c r="F134" s="245">
        <f>D134*1500</f>
        <v>1500</v>
      </c>
      <c r="G134" s="400"/>
      <c r="H134" s="259"/>
    </row>
    <row r="135" spans="1:8" ht="12.75">
      <c r="A135" s="302"/>
      <c r="B135" s="259" t="s">
        <v>752</v>
      </c>
      <c r="C135" s="261"/>
      <c r="D135" s="382">
        <v>75</v>
      </c>
      <c r="E135" s="252" t="s">
        <v>16</v>
      </c>
      <c r="F135" s="245">
        <f>D135*2.5</f>
        <v>187.5</v>
      </c>
      <c r="G135" s="400"/>
      <c r="H135" s="259"/>
    </row>
    <row r="136" spans="1:8" ht="12.75">
      <c r="A136" s="302"/>
      <c r="B136" s="259" t="s">
        <v>753</v>
      </c>
      <c r="C136" s="261"/>
      <c r="D136" s="382">
        <v>1</v>
      </c>
      <c r="E136" s="252" t="s">
        <v>17</v>
      </c>
      <c r="F136" s="245">
        <f>D136*1500</f>
        <v>1500</v>
      </c>
      <c r="G136" s="400"/>
      <c r="H136" s="259"/>
    </row>
    <row r="137" spans="1:8" ht="12.75">
      <c r="A137" s="302"/>
      <c r="B137" s="259" t="s">
        <v>754</v>
      </c>
      <c r="C137" s="261"/>
      <c r="D137" s="382">
        <v>2</v>
      </c>
      <c r="E137" s="252" t="s">
        <v>15</v>
      </c>
      <c r="F137" s="245">
        <f>D137*400</f>
        <v>800</v>
      </c>
      <c r="G137" s="400"/>
      <c r="H137" s="259"/>
    </row>
    <row r="138" spans="1:8" ht="12.75">
      <c r="A138" s="302"/>
      <c r="B138" s="259" t="s">
        <v>755</v>
      </c>
      <c r="C138" s="261"/>
      <c r="D138" s="382">
        <v>1</v>
      </c>
      <c r="E138" s="252" t="s">
        <v>17</v>
      </c>
      <c r="F138" s="245">
        <f>D138*250</f>
        <v>250</v>
      </c>
      <c r="G138" s="400"/>
      <c r="H138" s="259"/>
    </row>
    <row r="139" spans="1:8" ht="13.5" thickBot="1">
      <c r="A139" s="353"/>
      <c r="B139" s="313" t="s">
        <v>1015</v>
      </c>
      <c r="C139" s="314"/>
      <c r="D139" s="383">
        <v>1</v>
      </c>
      <c r="E139" s="315" t="s">
        <v>15</v>
      </c>
      <c r="F139" s="316">
        <f>D139*2500</f>
        <v>2500</v>
      </c>
      <c r="G139" s="401"/>
      <c r="H139" s="313"/>
    </row>
    <row r="140" spans="1:9" ht="12.75">
      <c r="A140" s="338">
        <v>7</v>
      </c>
      <c r="B140" s="307" t="s">
        <v>756</v>
      </c>
      <c r="C140" s="308"/>
      <c r="D140" s="385"/>
      <c r="E140" s="309"/>
      <c r="F140" s="310"/>
      <c r="G140" s="310">
        <f>F141+F142+F143+F144+F145</f>
        <v>14604</v>
      </c>
      <c r="H140" s="307"/>
      <c r="I140" t="s">
        <v>922</v>
      </c>
    </row>
    <row r="141" spans="1:8" ht="12.75">
      <c r="A141" s="302"/>
      <c r="B141" s="259" t="s">
        <v>757</v>
      </c>
      <c r="C141" s="261"/>
      <c r="D141" s="382">
        <f>'10'!J75</f>
        <v>0</v>
      </c>
      <c r="E141" s="252"/>
      <c r="F141" s="367">
        <v>0</v>
      </c>
      <c r="G141" s="400"/>
      <c r="H141" s="259" t="s">
        <v>383</v>
      </c>
    </row>
    <row r="142" spans="1:8" ht="12.75">
      <c r="A142" s="302"/>
      <c r="B142" s="259" t="s">
        <v>758</v>
      </c>
      <c r="C142" s="261"/>
      <c r="D142" s="382">
        <v>918</v>
      </c>
      <c r="E142" s="252" t="s">
        <v>14</v>
      </c>
      <c r="F142" s="245">
        <f>D142*3</f>
        <v>2754</v>
      </c>
      <c r="G142" s="400"/>
      <c r="H142" s="259"/>
    </row>
    <row r="143" spans="1:8" ht="12.75">
      <c r="A143" s="302"/>
      <c r="B143" s="259" t="s">
        <v>759</v>
      </c>
      <c r="C143" s="261"/>
      <c r="D143" s="382">
        <v>6</v>
      </c>
      <c r="E143" s="252" t="s">
        <v>15</v>
      </c>
      <c r="F143" s="245">
        <f>D143*325</f>
        <v>1950</v>
      </c>
      <c r="G143" s="400"/>
      <c r="H143" s="259"/>
    </row>
    <row r="144" spans="1:8" ht="12.75">
      <c r="A144" s="302"/>
      <c r="B144" s="259" t="s">
        <v>760</v>
      </c>
      <c r="C144" s="261"/>
      <c r="D144" s="382">
        <v>6</v>
      </c>
      <c r="E144" s="252" t="s">
        <v>15</v>
      </c>
      <c r="F144" s="245">
        <f>D144*400</f>
        <v>2400</v>
      </c>
      <c r="G144" s="400"/>
      <c r="H144" s="259"/>
    </row>
    <row r="145" spans="1:8" ht="13.5" thickBot="1">
      <c r="A145" s="353"/>
      <c r="B145" s="313" t="s">
        <v>761</v>
      </c>
      <c r="C145" s="314"/>
      <c r="D145" s="383">
        <v>6</v>
      </c>
      <c r="E145" s="315" t="s">
        <v>15</v>
      </c>
      <c r="F145" s="316">
        <f>D145*1250</f>
        <v>7500</v>
      </c>
      <c r="G145" s="401"/>
      <c r="H145" s="313"/>
    </row>
    <row r="146" spans="1:9" ht="12.75">
      <c r="A146" s="338">
        <v>8</v>
      </c>
      <c r="B146" s="307" t="s">
        <v>762</v>
      </c>
      <c r="C146" s="308"/>
      <c r="D146" s="385"/>
      <c r="E146" s="309"/>
      <c r="F146" s="310"/>
      <c r="G146" s="310">
        <f>F147+F148+F149+F150+F151</f>
        <v>12400</v>
      </c>
      <c r="H146" s="307"/>
      <c r="I146" t="s">
        <v>922</v>
      </c>
    </row>
    <row r="147" spans="1:8" ht="12.75">
      <c r="A147" s="302"/>
      <c r="B147" s="259" t="s">
        <v>763</v>
      </c>
      <c r="C147" s="261"/>
      <c r="D147" s="382">
        <v>2</v>
      </c>
      <c r="E147" s="252" t="s">
        <v>15</v>
      </c>
      <c r="F147" s="245">
        <f>D147*2500</f>
        <v>5000</v>
      </c>
      <c r="G147" s="400"/>
      <c r="H147" s="259"/>
    </row>
    <row r="148" spans="1:8" ht="12.75">
      <c r="A148" s="302"/>
      <c r="B148" s="259" t="s">
        <v>764</v>
      </c>
      <c r="C148" s="261"/>
      <c r="D148" s="382">
        <v>4</v>
      </c>
      <c r="E148" s="252" t="s">
        <v>15</v>
      </c>
      <c r="F148" s="245">
        <f>D148*1200</f>
        <v>4800</v>
      </c>
      <c r="G148" s="400"/>
      <c r="H148" s="259"/>
    </row>
    <row r="149" spans="1:8" ht="12.75">
      <c r="A149" s="302"/>
      <c r="B149" s="304" t="s">
        <v>765</v>
      </c>
      <c r="C149" s="261"/>
      <c r="D149" s="382">
        <v>2</v>
      </c>
      <c r="E149" s="252" t="s">
        <v>15</v>
      </c>
      <c r="F149" s="245">
        <f>D149*800</f>
        <v>1600</v>
      </c>
      <c r="G149" s="400"/>
      <c r="H149" s="259"/>
    </row>
    <row r="150" spans="1:8" ht="12.75">
      <c r="A150" s="302"/>
      <c r="B150" s="259" t="s">
        <v>766</v>
      </c>
      <c r="C150" s="261"/>
      <c r="D150" s="382">
        <v>2</v>
      </c>
      <c r="E150" s="252" t="s">
        <v>15</v>
      </c>
      <c r="F150" s="245">
        <f>D150*500</f>
        <v>1000</v>
      </c>
      <c r="G150" s="400"/>
      <c r="H150" s="259"/>
    </row>
    <row r="151" spans="1:9" ht="13.5" thickBot="1">
      <c r="A151" s="353"/>
      <c r="B151" s="313" t="s">
        <v>767</v>
      </c>
      <c r="C151" s="314"/>
      <c r="D151" s="383">
        <f>'10'!J85</f>
        <v>0</v>
      </c>
      <c r="E151" s="315"/>
      <c r="F151" s="370">
        <v>0</v>
      </c>
      <c r="G151" s="401"/>
      <c r="H151" s="313" t="s">
        <v>940</v>
      </c>
      <c r="I151" s="45"/>
    </row>
    <row r="152" spans="1:9" ht="12.75">
      <c r="A152" s="408"/>
      <c r="B152" s="406" t="s">
        <v>917</v>
      </c>
      <c r="C152" s="377"/>
      <c r="D152" s="389"/>
      <c r="E152" s="378"/>
      <c r="F152" s="379"/>
      <c r="G152" s="379">
        <f>F153+F154+F155</f>
        <v>21050</v>
      </c>
      <c r="H152" s="295"/>
      <c r="I152" s="45" t="s">
        <v>922</v>
      </c>
    </row>
    <row r="153" spans="1:9" ht="12.75">
      <c r="A153" s="302"/>
      <c r="B153" s="303" t="s">
        <v>914</v>
      </c>
      <c r="C153" s="261"/>
      <c r="D153" s="382">
        <v>17200</v>
      </c>
      <c r="E153" s="382" t="s">
        <v>14</v>
      </c>
      <c r="F153" s="245">
        <f>D153*0.5</f>
        <v>8600</v>
      </c>
      <c r="G153" s="400"/>
      <c r="H153" s="259"/>
      <c r="I153" s="45"/>
    </row>
    <row r="154" spans="1:9" ht="12.75">
      <c r="A154" s="302"/>
      <c r="B154" s="303" t="s">
        <v>915</v>
      </c>
      <c r="C154" s="261"/>
      <c r="D154" s="382">
        <v>6900</v>
      </c>
      <c r="E154" s="382" t="s">
        <v>14</v>
      </c>
      <c r="F154" s="245">
        <f>D154*0.5</f>
        <v>3450</v>
      </c>
      <c r="G154" s="400"/>
      <c r="H154" s="259"/>
      <c r="I154" s="45"/>
    </row>
    <row r="155" spans="1:9" ht="12.75">
      <c r="A155" s="302"/>
      <c r="B155" s="303" t="s">
        <v>916</v>
      </c>
      <c r="C155" s="261"/>
      <c r="D155" s="382">
        <v>3000</v>
      </c>
      <c r="E155" s="382" t="s">
        <v>16</v>
      </c>
      <c r="F155" s="245">
        <f>D155*3</f>
        <v>9000</v>
      </c>
      <c r="G155" s="400"/>
      <c r="H155" s="259"/>
      <c r="I155" s="45"/>
    </row>
    <row r="156" spans="1:9" ht="12.75">
      <c r="A156" s="302"/>
      <c r="B156" s="406"/>
      <c r="C156" s="377"/>
      <c r="D156" s="389"/>
      <c r="E156" s="389"/>
      <c r="F156" s="379"/>
      <c r="G156" s="407"/>
      <c r="H156" s="295"/>
      <c r="I156" s="45"/>
    </row>
    <row r="157" spans="1:8" ht="13.5" thickBot="1">
      <c r="A157" s="459" t="s">
        <v>768</v>
      </c>
      <c r="B157" s="458"/>
      <c r="C157" s="349"/>
      <c r="D157" s="387"/>
      <c r="E157" s="339"/>
      <c r="F157" s="340"/>
      <c r="G157" s="340"/>
      <c r="H157" s="341"/>
    </row>
    <row r="158" spans="1:9" ht="13.5" thickTop="1">
      <c r="A158" s="460" t="s">
        <v>888</v>
      </c>
      <c r="B158" s="461"/>
      <c r="C158" s="361"/>
      <c r="D158" s="390"/>
      <c r="E158" s="362"/>
      <c r="F158" s="363"/>
      <c r="G158" s="363">
        <f>F159+F160+F161+F162+F163+F164+F165+F166</f>
        <v>69200</v>
      </c>
      <c r="H158" s="360"/>
      <c r="I158" t="s">
        <v>922</v>
      </c>
    </row>
    <row r="159" spans="1:8" ht="12.75">
      <c r="A159" s="338" t="s">
        <v>769</v>
      </c>
      <c r="B159" s="307" t="s">
        <v>770</v>
      </c>
      <c r="C159" s="308"/>
      <c r="D159" s="385">
        <v>8</v>
      </c>
      <c r="E159" s="309" t="s">
        <v>15</v>
      </c>
      <c r="F159" s="310">
        <f>D159*2000</f>
        <v>16000</v>
      </c>
      <c r="G159" s="403"/>
      <c r="H159" s="307"/>
    </row>
    <row r="160" spans="1:10" ht="12.75">
      <c r="A160" s="302" t="s">
        <v>771</v>
      </c>
      <c r="B160" s="259" t="s">
        <v>772</v>
      </c>
      <c r="C160" s="261"/>
      <c r="D160" s="382">
        <v>8</v>
      </c>
      <c r="E160" s="252" t="s">
        <v>15</v>
      </c>
      <c r="F160" s="245">
        <f>D160*100</f>
        <v>800</v>
      </c>
      <c r="G160" s="400"/>
      <c r="H160" s="259" t="s">
        <v>1016</v>
      </c>
      <c r="I160" s="440"/>
      <c r="J160" s="45"/>
    </row>
    <row r="161" spans="1:8" ht="12.75">
      <c r="A161" s="302" t="s">
        <v>773</v>
      </c>
      <c r="B161" s="259" t="s">
        <v>774</v>
      </c>
      <c r="C161" s="261"/>
      <c r="D161" s="382">
        <v>8</v>
      </c>
      <c r="E161" s="252" t="s">
        <v>15</v>
      </c>
      <c r="F161" s="245">
        <f>D161*2400</f>
        <v>19200</v>
      </c>
      <c r="G161" s="400"/>
      <c r="H161" s="259"/>
    </row>
    <row r="162" spans="1:8" ht="12.75">
      <c r="A162" s="302" t="s">
        <v>775</v>
      </c>
      <c r="B162" s="259" t="s">
        <v>776</v>
      </c>
      <c r="C162" s="261"/>
      <c r="D162" s="382">
        <v>8</v>
      </c>
      <c r="E162" s="252" t="s">
        <v>15</v>
      </c>
      <c r="F162" s="245">
        <f>D162*150</f>
        <v>1200</v>
      </c>
      <c r="G162" s="400"/>
      <c r="H162" s="259" t="s">
        <v>1016</v>
      </c>
    </row>
    <row r="163" spans="1:8" ht="12.75">
      <c r="A163" s="302" t="s">
        <v>777</v>
      </c>
      <c r="B163" s="259" t="s">
        <v>778</v>
      </c>
      <c r="C163" s="261"/>
      <c r="D163" s="382">
        <v>8</v>
      </c>
      <c r="E163" s="252" t="s">
        <v>15</v>
      </c>
      <c r="F163" s="245">
        <v>0</v>
      </c>
      <c r="G163" s="400"/>
      <c r="H163" s="259" t="s">
        <v>1025</v>
      </c>
    </row>
    <row r="164" spans="1:8" ht="12.75">
      <c r="A164" s="302" t="s">
        <v>779</v>
      </c>
      <c r="B164" s="259" t="s">
        <v>780</v>
      </c>
      <c r="C164" s="261"/>
      <c r="D164" s="382">
        <v>8</v>
      </c>
      <c r="E164" s="252" t="s">
        <v>15</v>
      </c>
      <c r="F164" s="245">
        <f>D164*3000</f>
        <v>24000</v>
      </c>
      <c r="G164" s="400"/>
      <c r="H164" s="259"/>
    </row>
    <row r="165" spans="1:8" ht="12.75">
      <c r="A165" s="302" t="s">
        <v>781</v>
      </c>
      <c r="B165" s="259" t="s">
        <v>1017</v>
      </c>
      <c r="C165" s="261"/>
      <c r="D165" s="382">
        <v>8</v>
      </c>
      <c r="E165" s="252" t="s">
        <v>15</v>
      </c>
      <c r="F165" s="245">
        <f>D165*500</f>
        <v>4000</v>
      </c>
      <c r="G165" s="400"/>
      <c r="H165" s="259"/>
    </row>
    <row r="166" spans="1:8" ht="13.5" thickBot="1">
      <c r="A166" s="353" t="s">
        <v>782</v>
      </c>
      <c r="B166" s="313" t="s">
        <v>783</v>
      </c>
      <c r="C166" s="314"/>
      <c r="D166" s="383">
        <v>8</v>
      </c>
      <c r="E166" s="315" t="s">
        <v>15</v>
      </c>
      <c r="F166" s="316">
        <f>D166*500</f>
        <v>4000</v>
      </c>
      <c r="G166" s="401"/>
      <c r="H166" s="313"/>
    </row>
    <row r="167" spans="1:9" ht="12.75">
      <c r="A167" s="338">
        <v>1</v>
      </c>
      <c r="B167" s="307" t="s">
        <v>889</v>
      </c>
      <c r="C167" s="308"/>
      <c r="D167" s="385"/>
      <c r="E167" s="309"/>
      <c r="F167" s="310"/>
      <c r="G167" s="310">
        <f>F168+F169+F170</f>
        <v>5600</v>
      </c>
      <c r="H167" s="307"/>
      <c r="I167" t="s">
        <v>922</v>
      </c>
    </row>
    <row r="168" spans="1:8" ht="12.75">
      <c r="A168" s="302"/>
      <c r="B168" s="259" t="s">
        <v>784</v>
      </c>
      <c r="C168" s="261"/>
      <c r="D168" s="382">
        <v>8</v>
      </c>
      <c r="E168" s="252" t="s">
        <v>15</v>
      </c>
      <c r="F168" s="245">
        <v>0</v>
      </c>
      <c r="G168" s="400"/>
      <c r="H168" s="259" t="s">
        <v>1026</v>
      </c>
    </row>
    <row r="169" spans="1:8" ht="12.75">
      <c r="A169" s="302"/>
      <c r="B169" s="259" t="s">
        <v>785</v>
      </c>
      <c r="C169" s="261"/>
      <c r="D169" s="382">
        <v>8</v>
      </c>
      <c r="E169" s="252" t="s">
        <v>15</v>
      </c>
      <c r="F169" s="245">
        <f>D169*200</f>
        <v>1600</v>
      </c>
      <c r="G169" s="400"/>
      <c r="H169" s="259"/>
    </row>
    <row r="170" spans="1:8" ht="13.5" thickBot="1">
      <c r="A170" s="353"/>
      <c r="B170" s="313" t="s">
        <v>786</v>
      </c>
      <c r="C170" s="314"/>
      <c r="D170" s="383">
        <v>8</v>
      </c>
      <c r="E170" s="315" t="s">
        <v>15</v>
      </c>
      <c r="F170" s="316">
        <f>D170*500</f>
        <v>4000</v>
      </c>
      <c r="G170" s="401"/>
      <c r="H170" s="313"/>
    </row>
    <row r="171" spans="1:9" ht="12.75">
      <c r="A171" s="338">
        <v>2</v>
      </c>
      <c r="B171" s="307" t="s">
        <v>787</v>
      </c>
      <c r="C171" s="308"/>
      <c r="D171" s="385"/>
      <c r="E171" s="309"/>
      <c r="F171" s="310"/>
      <c r="G171" s="310">
        <f>F172+F173+F174+F175</f>
        <v>21748</v>
      </c>
      <c r="H171" s="307"/>
      <c r="I171" s="45" t="s">
        <v>922</v>
      </c>
    </row>
    <row r="172" spans="1:8" ht="12.75">
      <c r="A172" s="302"/>
      <c r="B172" s="259" t="s">
        <v>788</v>
      </c>
      <c r="C172" s="261"/>
      <c r="D172" s="382">
        <v>1900</v>
      </c>
      <c r="E172" s="252" t="s">
        <v>14</v>
      </c>
      <c r="F172" s="245">
        <f>D172*7</f>
        <v>13300</v>
      </c>
      <c r="G172" s="400"/>
      <c r="H172" s="259"/>
    </row>
    <row r="173" spans="1:8" ht="12.75">
      <c r="A173" s="302"/>
      <c r="B173" s="259" t="s">
        <v>789</v>
      </c>
      <c r="C173" s="261"/>
      <c r="D173" s="382">
        <v>400</v>
      </c>
      <c r="E173" s="252" t="s">
        <v>14</v>
      </c>
      <c r="F173" s="245">
        <f>D173*8</f>
        <v>3200</v>
      </c>
      <c r="G173" s="400"/>
      <c r="H173" s="259" t="s">
        <v>1016</v>
      </c>
    </row>
    <row r="174" spans="1:8" ht="12.75">
      <c r="A174" s="302"/>
      <c r="B174" s="259" t="s">
        <v>790</v>
      </c>
      <c r="C174" s="261"/>
      <c r="D174" s="382">
        <v>48</v>
      </c>
      <c r="E174" s="252" t="s">
        <v>16</v>
      </c>
      <c r="F174" s="245">
        <f>D174*8</f>
        <v>384</v>
      </c>
      <c r="G174" s="400"/>
      <c r="H174" s="259"/>
    </row>
    <row r="175" spans="1:8" ht="13.5" thickBot="1">
      <c r="A175" s="353"/>
      <c r="B175" s="313" t="s">
        <v>791</v>
      </c>
      <c r="C175" s="314"/>
      <c r="D175" s="383">
        <v>608</v>
      </c>
      <c r="E175" s="315" t="s">
        <v>16</v>
      </c>
      <c r="F175" s="453">
        <f>D175*8</f>
        <v>4864</v>
      </c>
      <c r="G175" s="401"/>
      <c r="H175" s="313"/>
    </row>
    <row r="176" spans="1:9" ht="12.75">
      <c r="A176" s="338">
        <v>3</v>
      </c>
      <c r="B176" s="307" t="s">
        <v>792</v>
      </c>
      <c r="C176" s="308"/>
      <c r="D176" s="385"/>
      <c r="E176" s="309"/>
      <c r="F176" s="310"/>
      <c r="G176" s="310">
        <f>F177+F178+F179+F180+F181+F182</f>
        <v>31804</v>
      </c>
      <c r="H176" s="307"/>
      <c r="I176" t="s">
        <v>922</v>
      </c>
    </row>
    <row r="177" spans="1:8" ht="12.75">
      <c r="A177" s="302"/>
      <c r="B177" s="259" t="s">
        <v>793</v>
      </c>
      <c r="C177" s="261"/>
      <c r="D177" s="382"/>
      <c r="E177" s="252"/>
      <c r="F177" s="367">
        <v>0</v>
      </c>
      <c r="G177" s="400"/>
      <c r="H177" s="259" t="s">
        <v>383</v>
      </c>
    </row>
    <row r="178" spans="1:8" ht="12.75">
      <c r="A178" s="302"/>
      <c r="B178" s="259" t="s">
        <v>794</v>
      </c>
      <c r="C178" s="261"/>
      <c r="D178" s="382">
        <v>2500</v>
      </c>
      <c r="E178" s="252" t="s">
        <v>14</v>
      </c>
      <c r="F178" s="245">
        <f>D178*7</f>
        <v>17500</v>
      </c>
      <c r="G178" s="400"/>
      <c r="H178" s="259"/>
    </row>
    <row r="179" spans="1:8" ht="12.75">
      <c r="A179" s="302"/>
      <c r="B179" s="259" t="s">
        <v>790</v>
      </c>
      <c r="C179" s="261"/>
      <c r="D179" s="382">
        <v>80</v>
      </c>
      <c r="E179" s="252" t="s">
        <v>16</v>
      </c>
      <c r="F179" s="245">
        <f>D179*8</f>
        <v>640</v>
      </c>
      <c r="G179" s="400"/>
      <c r="H179" s="259"/>
    </row>
    <row r="180" spans="1:8" ht="12.75">
      <c r="A180" s="302"/>
      <c r="B180" s="259" t="s">
        <v>795</v>
      </c>
      <c r="C180" s="261"/>
      <c r="D180" s="382">
        <v>16</v>
      </c>
      <c r="E180" s="252" t="s">
        <v>15</v>
      </c>
      <c r="F180" s="245">
        <f>D180*250</f>
        <v>4000</v>
      </c>
      <c r="G180" s="400"/>
      <c r="H180" s="259"/>
    </row>
    <row r="181" spans="1:8" ht="12.75">
      <c r="A181" s="302"/>
      <c r="B181" s="259" t="s">
        <v>791</v>
      </c>
      <c r="C181" s="261"/>
      <c r="D181" s="382">
        <v>1096</v>
      </c>
      <c r="E181" s="252" t="s">
        <v>16</v>
      </c>
      <c r="F181" s="245">
        <f>D181*8</f>
        <v>8768</v>
      </c>
      <c r="G181" s="400"/>
      <c r="H181" s="259"/>
    </row>
    <row r="182" spans="1:8" ht="13.5" thickBot="1">
      <c r="A182" s="353"/>
      <c r="B182" s="313" t="s">
        <v>796</v>
      </c>
      <c r="C182" s="314"/>
      <c r="D182" s="383">
        <v>112</v>
      </c>
      <c r="E182" s="315" t="s">
        <v>16</v>
      </c>
      <c r="F182" s="399">
        <f>D182*8</f>
        <v>896</v>
      </c>
      <c r="G182" s="401"/>
      <c r="H182" s="313"/>
    </row>
    <row r="183" spans="1:9" ht="12.75">
      <c r="A183" s="338">
        <v>5</v>
      </c>
      <c r="B183" s="307" t="s">
        <v>797</v>
      </c>
      <c r="C183" s="308"/>
      <c r="D183" s="385"/>
      <c r="E183" s="309"/>
      <c r="F183" s="310"/>
      <c r="G183" s="310">
        <f>F184+F185+F186+F187+F188+F189+F190+F191+F192+F193+F194</f>
        <v>73460</v>
      </c>
      <c r="H183" s="307"/>
      <c r="I183" t="s">
        <v>922</v>
      </c>
    </row>
    <row r="184" spans="1:8" ht="12.75">
      <c r="A184" s="302"/>
      <c r="B184" s="259" t="s">
        <v>798</v>
      </c>
      <c r="C184" s="261"/>
      <c r="D184" s="382">
        <v>8</v>
      </c>
      <c r="E184" s="252" t="s">
        <v>15</v>
      </c>
      <c r="F184" s="245">
        <f>D184*500</f>
        <v>4000</v>
      </c>
      <c r="G184" s="400"/>
      <c r="H184" s="259" t="s">
        <v>903</v>
      </c>
    </row>
    <row r="185" spans="1:8" ht="12.75">
      <c r="A185" s="302"/>
      <c r="B185" s="259" t="s">
        <v>746</v>
      </c>
      <c r="C185" s="261"/>
      <c r="D185" s="382">
        <v>700</v>
      </c>
      <c r="E185" s="252" t="s">
        <v>14</v>
      </c>
      <c r="F185" s="245">
        <f>D185*7</f>
        <v>4900</v>
      </c>
      <c r="G185" s="400"/>
      <c r="H185" s="259"/>
    </row>
    <row r="186" spans="1:8" ht="12.75">
      <c r="A186" s="302"/>
      <c r="B186" s="259" t="s">
        <v>799</v>
      </c>
      <c r="C186" s="261"/>
      <c r="D186" s="382">
        <v>8</v>
      </c>
      <c r="E186" s="252" t="s">
        <v>15</v>
      </c>
      <c r="F186" s="245">
        <f>D186*4500</f>
        <v>36000</v>
      </c>
      <c r="G186" s="400"/>
      <c r="H186" s="259"/>
    </row>
    <row r="187" spans="1:8" ht="12.75">
      <c r="A187" s="302"/>
      <c r="B187" s="259" t="s">
        <v>800</v>
      </c>
      <c r="C187" s="261"/>
      <c r="D187" s="382"/>
      <c r="E187" s="252"/>
      <c r="F187" s="398">
        <v>0</v>
      </c>
      <c r="G187" s="400"/>
      <c r="H187" s="259" t="s">
        <v>942</v>
      </c>
    </row>
    <row r="188" spans="1:8" ht="12.75">
      <c r="A188" s="302"/>
      <c r="B188" s="259" t="s">
        <v>801</v>
      </c>
      <c r="C188" s="261"/>
      <c r="D188" s="382">
        <v>8</v>
      </c>
      <c r="E188" s="252" t="s">
        <v>15</v>
      </c>
      <c r="F188" s="245">
        <f>D188*400</f>
        <v>3200</v>
      </c>
      <c r="G188" s="400"/>
      <c r="H188" s="259"/>
    </row>
    <row r="189" spans="1:8" ht="12.75">
      <c r="A189" s="302"/>
      <c r="B189" s="259" t="s">
        <v>802</v>
      </c>
      <c r="C189" s="261"/>
      <c r="D189" s="382">
        <v>8</v>
      </c>
      <c r="E189" s="252" t="s">
        <v>15</v>
      </c>
      <c r="F189" s="245">
        <f>D189*1800</f>
        <v>14400</v>
      </c>
      <c r="G189" s="400"/>
      <c r="H189" s="259"/>
    </row>
    <row r="190" spans="1:8" ht="12.75">
      <c r="A190" s="302"/>
      <c r="B190" s="259" t="s">
        <v>803</v>
      </c>
      <c r="C190" s="261"/>
      <c r="D190" s="382">
        <v>8</v>
      </c>
      <c r="E190" s="252" t="s">
        <v>15</v>
      </c>
      <c r="F190" s="245">
        <f>D190*250</f>
        <v>2000</v>
      </c>
      <c r="G190" s="400"/>
      <c r="H190" s="259"/>
    </row>
    <row r="191" spans="1:8" ht="12.75">
      <c r="A191" s="302"/>
      <c r="B191" s="259" t="s">
        <v>804</v>
      </c>
      <c r="C191" s="261"/>
      <c r="D191" s="382">
        <v>8</v>
      </c>
      <c r="E191" s="252" t="s">
        <v>15</v>
      </c>
      <c r="F191" s="245">
        <f>D191*400</f>
        <v>3200</v>
      </c>
      <c r="G191" s="400"/>
      <c r="H191" s="259"/>
    </row>
    <row r="192" spans="1:8" ht="12.75">
      <c r="A192" s="302"/>
      <c r="B192" s="259" t="s">
        <v>805</v>
      </c>
      <c r="C192" s="261"/>
      <c r="D192" s="382">
        <v>8</v>
      </c>
      <c r="E192" s="252" t="s">
        <v>15</v>
      </c>
      <c r="F192" s="245">
        <f>D192*350</f>
        <v>2800</v>
      </c>
      <c r="G192" s="400"/>
      <c r="H192" s="259"/>
    </row>
    <row r="193" spans="1:8" ht="12.75">
      <c r="A193" s="302"/>
      <c r="B193" s="259" t="s">
        <v>806</v>
      </c>
      <c r="C193" s="261"/>
      <c r="D193" s="382">
        <v>8</v>
      </c>
      <c r="E193" s="252" t="s">
        <v>15</v>
      </c>
      <c r="F193" s="245">
        <f>D193*250</f>
        <v>2000</v>
      </c>
      <c r="G193" s="400"/>
      <c r="H193" s="259"/>
    </row>
    <row r="194" spans="1:8" ht="13.5" thickBot="1">
      <c r="A194" s="353"/>
      <c r="B194" s="313" t="s">
        <v>807</v>
      </c>
      <c r="C194" s="314"/>
      <c r="D194" s="383">
        <v>240</v>
      </c>
      <c r="E194" s="315" t="s">
        <v>16</v>
      </c>
      <c r="F194" s="316">
        <f>D194*4</f>
        <v>960</v>
      </c>
      <c r="G194" s="316"/>
      <c r="H194" s="313"/>
    </row>
    <row r="195" spans="1:9" ht="12.75">
      <c r="A195" s="338">
        <v>6</v>
      </c>
      <c r="B195" s="307" t="s">
        <v>808</v>
      </c>
      <c r="C195" s="308"/>
      <c r="D195" s="385"/>
      <c r="E195" s="309"/>
      <c r="F195" s="310">
        <f>D195*8</f>
        <v>0</v>
      </c>
      <c r="G195" s="310">
        <f>F196+F197+F198+F199+F200+F201+F202+F203</f>
        <v>66400</v>
      </c>
      <c r="H195" s="307"/>
      <c r="I195" s="45" t="s">
        <v>922</v>
      </c>
    </row>
    <row r="196" spans="1:8" ht="12.75">
      <c r="A196" s="302"/>
      <c r="B196" s="259" t="s">
        <v>809</v>
      </c>
      <c r="C196" s="261"/>
      <c r="D196" s="382">
        <v>8</v>
      </c>
      <c r="E196" s="252" t="s">
        <v>15</v>
      </c>
      <c r="F196" s="245">
        <f>D196*4000</f>
        <v>32000</v>
      </c>
      <c r="G196" s="400"/>
      <c r="H196" s="259"/>
    </row>
    <row r="197" spans="1:8" ht="12.75">
      <c r="A197" s="302"/>
      <c r="B197" s="259" t="s">
        <v>810</v>
      </c>
      <c r="C197" s="261"/>
      <c r="D197" s="382">
        <v>8</v>
      </c>
      <c r="E197" s="252" t="s">
        <v>15</v>
      </c>
      <c r="F197" s="245">
        <f>D197*200</f>
        <v>1600</v>
      </c>
      <c r="G197" s="400"/>
      <c r="H197" s="259"/>
    </row>
    <row r="198" spans="1:8" ht="12.75">
      <c r="A198" s="302"/>
      <c r="B198" s="259" t="s">
        <v>811</v>
      </c>
      <c r="C198" s="261"/>
      <c r="D198" s="382">
        <v>8</v>
      </c>
      <c r="E198" s="252" t="s">
        <v>15</v>
      </c>
      <c r="F198" s="245">
        <f>D198*1200</f>
        <v>9600</v>
      </c>
      <c r="G198" s="400"/>
      <c r="H198" s="259"/>
    </row>
    <row r="199" spans="1:8" ht="12.75">
      <c r="A199" s="302"/>
      <c r="B199" s="259" t="s">
        <v>812</v>
      </c>
      <c r="C199" s="261"/>
      <c r="D199" s="382">
        <v>8</v>
      </c>
      <c r="E199" s="252" t="s">
        <v>15</v>
      </c>
      <c r="F199" s="245">
        <f>D199*600</f>
        <v>4800</v>
      </c>
      <c r="G199" s="400"/>
      <c r="H199" s="259"/>
    </row>
    <row r="200" spans="1:8" ht="12.75">
      <c r="A200" s="302"/>
      <c r="B200" s="259" t="s">
        <v>813</v>
      </c>
      <c r="C200" s="261"/>
      <c r="D200" s="382">
        <v>8</v>
      </c>
      <c r="E200" s="252" t="s">
        <v>15</v>
      </c>
      <c r="F200" s="245">
        <f>D200*500</f>
        <v>4000</v>
      </c>
      <c r="G200" s="400"/>
      <c r="H200" s="259"/>
    </row>
    <row r="201" spans="1:8" ht="12.75">
      <c r="A201" s="302"/>
      <c r="B201" s="259" t="s">
        <v>796</v>
      </c>
      <c r="C201" s="261"/>
      <c r="D201" s="382">
        <v>8</v>
      </c>
      <c r="E201" s="252" t="s">
        <v>15</v>
      </c>
      <c r="F201" s="245">
        <f>D201*150</f>
        <v>1200</v>
      </c>
      <c r="G201" s="400"/>
      <c r="H201" s="259"/>
    </row>
    <row r="202" spans="1:8" ht="12.75">
      <c r="A202" s="302"/>
      <c r="B202" s="259" t="s">
        <v>814</v>
      </c>
      <c r="C202" s="261"/>
      <c r="D202" s="382">
        <v>600</v>
      </c>
      <c r="E202" s="252" t="s">
        <v>14</v>
      </c>
      <c r="F202" s="245">
        <f>D202*14</f>
        <v>8400</v>
      </c>
      <c r="G202" s="400"/>
      <c r="H202" s="259"/>
    </row>
    <row r="203" spans="1:8" ht="13.5" thickBot="1">
      <c r="A203" s="353"/>
      <c r="B203" s="313" t="s">
        <v>815</v>
      </c>
      <c r="C203" s="314"/>
      <c r="D203" s="383">
        <v>8</v>
      </c>
      <c r="E203" s="315" t="s">
        <v>15</v>
      </c>
      <c r="F203" s="316">
        <f>D203*600</f>
        <v>4800</v>
      </c>
      <c r="G203" s="401"/>
      <c r="H203" s="313"/>
    </row>
    <row r="204" spans="1:9" ht="12.75">
      <c r="A204" s="462" t="s">
        <v>890</v>
      </c>
      <c r="B204" s="463"/>
      <c r="C204" s="308"/>
      <c r="D204" s="385"/>
      <c r="E204" s="309"/>
      <c r="F204" s="310"/>
      <c r="G204" s="310">
        <f>SUM(F205:F231)</f>
        <v>2769718</v>
      </c>
      <c r="H204" s="307"/>
      <c r="I204" s="45" t="s">
        <v>922</v>
      </c>
    </row>
    <row r="205" spans="1:8" ht="12.75">
      <c r="A205" s="302" t="s">
        <v>769</v>
      </c>
      <c r="B205" s="259" t="s">
        <v>817</v>
      </c>
      <c r="C205" s="261"/>
      <c r="D205" s="382">
        <v>136</v>
      </c>
      <c r="E205" s="252" t="s">
        <v>15</v>
      </c>
      <c r="F205" s="245">
        <v>0</v>
      </c>
      <c r="G205" s="400"/>
      <c r="H205" s="259" t="s">
        <v>1027</v>
      </c>
    </row>
    <row r="206" spans="1:8" ht="12.75">
      <c r="A206" s="251" t="s">
        <v>771</v>
      </c>
      <c r="B206" s="259" t="s">
        <v>816</v>
      </c>
      <c r="C206" s="261"/>
      <c r="D206" s="382">
        <v>952</v>
      </c>
      <c r="E206" s="252" t="s">
        <v>15</v>
      </c>
      <c r="F206" s="447">
        <f>D206*250</f>
        <v>238000</v>
      </c>
      <c r="G206" s="400"/>
      <c r="H206" s="259"/>
    </row>
    <row r="207" spans="1:8" ht="12.75">
      <c r="A207" s="251" t="s">
        <v>773</v>
      </c>
      <c r="B207" s="259" t="s">
        <v>825</v>
      </c>
      <c r="C207" s="261"/>
      <c r="D207" s="382">
        <v>15600</v>
      </c>
      <c r="E207" s="252" t="s">
        <v>16</v>
      </c>
      <c r="F207" s="245">
        <f>D207*3</f>
        <v>46800</v>
      </c>
      <c r="G207" s="400"/>
      <c r="H207" s="259"/>
    </row>
    <row r="208" spans="1:8" ht="12.75">
      <c r="A208" s="251" t="s">
        <v>775</v>
      </c>
      <c r="B208" s="259" t="s">
        <v>826</v>
      </c>
      <c r="C208" s="261"/>
      <c r="D208" s="382">
        <v>8432</v>
      </c>
      <c r="E208" s="252" t="s">
        <v>14</v>
      </c>
      <c r="F208" s="447">
        <f>D208*14</f>
        <v>118048</v>
      </c>
      <c r="G208" s="400"/>
      <c r="H208" s="259"/>
    </row>
    <row r="209" spans="1:8" ht="12.75">
      <c r="A209" s="251" t="s">
        <v>777</v>
      </c>
      <c r="B209" s="259" t="s">
        <v>827</v>
      </c>
      <c r="C209" s="261"/>
      <c r="D209" s="382">
        <v>7350</v>
      </c>
      <c r="E209" s="252" t="s">
        <v>14</v>
      </c>
      <c r="F209" s="245">
        <f>D209*7</f>
        <v>51450</v>
      </c>
      <c r="G209" s="400"/>
      <c r="H209" s="259"/>
    </row>
    <row r="210" spans="1:9" ht="12.75">
      <c r="A210" s="251" t="s">
        <v>779</v>
      </c>
      <c r="B210" s="259" t="s">
        <v>828</v>
      </c>
      <c r="C210" s="261"/>
      <c r="D210" s="382">
        <v>136</v>
      </c>
      <c r="E210" s="252" t="s">
        <v>15</v>
      </c>
      <c r="F210" s="245">
        <f>D210*150</f>
        <v>20400</v>
      </c>
      <c r="G210" s="400"/>
      <c r="H210" s="259"/>
      <c r="I210" s="45"/>
    </row>
    <row r="211" spans="1:9" ht="12.75">
      <c r="A211" s="251" t="s">
        <v>781</v>
      </c>
      <c r="B211" s="294" t="s">
        <v>829</v>
      </c>
      <c r="C211" s="261"/>
      <c r="D211" s="382">
        <v>136</v>
      </c>
      <c r="E211" s="252" t="s">
        <v>15</v>
      </c>
      <c r="F211" s="245">
        <f>D211*100</f>
        <v>13600</v>
      </c>
      <c r="G211" s="400"/>
      <c r="H211" s="259"/>
      <c r="I211" t="s">
        <v>272</v>
      </c>
    </row>
    <row r="212" spans="1:8" ht="12.75">
      <c r="A212" s="251" t="s">
        <v>782</v>
      </c>
      <c r="B212" s="295" t="s">
        <v>830</v>
      </c>
      <c r="C212" s="261"/>
      <c r="D212" s="382">
        <v>136</v>
      </c>
      <c r="E212" s="252" t="s">
        <v>15</v>
      </c>
      <c r="F212" s="245">
        <f>D212*75</f>
        <v>10200</v>
      </c>
      <c r="G212" s="400"/>
      <c r="H212" s="259"/>
    </row>
    <row r="213" spans="1:8" ht="12.75">
      <c r="A213" s="251"/>
      <c r="B213" s="295" t="s">
        <v>943</v>
      </c>
      <c r="C213" s="261"/>
      <c r="D213" s="382">
        <v>136</v>
      </c>
      <c r="E213" s="252" t="s">
        <v>15</v>
      </c>
      <c r="F213" s="447">
        <f>D213*4000</f>
        <v>544000</v>
      </c>
      <c r="G213" s="400"/>
      <c r="H213" t="s">
        <v>904</v>
      </c>
    </row>
    <row r="214" spans="1:8" ht="12.75">
      <c r="A214" s="251"/>
      <c r="B214" s="259" t="s">
        <v>831</v>
      </c>
      <c r="C214" s="261"/>
      <c r="D214" s="382">
        <v>136</v>
      </c>
      <c r="E214" s="252"/>
      <c r="F214" s="367">
        <v>0</v>
      </c>
      <c r="G214" s="400"/>
      <c r="H214" s="259" t="s">
        <v>383</v>
      </c>
    </row>
    <row r="215" spans="1:8" ht="12.75">
      <c r="A215" s="251"/>
      <c r="B215" s="259" t="s">
        <v>832</v>
      </c>
      <c r="C215" s="261"/>
      <c r="D215" s="382">
        <v>136</v>
      </c>
      <c r="E215" s="252" t="s">
        <v>15</v>
      </c>
      <c r="F215" s="245">
        <f>D215*400</f>
        <v>54400</v>
      </c>
      <c r="G215" s="400"/>
      <c r="H215" s="259"/>
    </row>
    <row r="216" spans="1:8" ht="12.75">
      <c r="A216" s="251" t="s">
        <v>818</v>
      </c>
      <c r="B216" s="259" t="s">
        <v>833</v>
      </c>
      <c r="C216" s="261"/>
      <c r="D216" s="382">
        <v>136</v>
      </c>
      <c r="E216" s="252" t="s">
        <v>15</v>
      </c>
      <c r="F216" s="245">
        <f>D216*2100</f>
        <v>285600</v>
      </c>
      <c r="G216" s="400"/>
      <c r="H216" s="259"/>
    </row>
    <row r="217" spans="1:8" ht="12.75">
      <c r="A217" s="251" t="s">
        <v>834</v>
      </c>
      <c r="B217" s="259" t="s">
        <v>835</v>
      </c>
      <c r="C217" s="261"/>
      <c r="D217" s="382">
        <v>136</v>
      </c>
      <c r="E217" s="252" t="s">
        <v>15</v>
      </c>
      <c r="F217" s="245">
        <f>D217*150</f>
        <v>20400</v>
      </c>
      <c r="G217" s="400"/>
      <c r="H217" s="259"/>
    </row>
    <row r="218" spans="1:8" ht="12.75">
      <c r="A218" s="251" t="s">
        <v>836</v>
      </c>
      <c r="B218" s="259" t="s">
        <v>783</v>
      </c>
      <c r="C218" s="261"/>
      <c r="D218" s="382">
        <v>136</v>
      </c>
      <c r="E218" s="252" t="s">
        <v>15</v>
      </c>
      <c r="F218" s="245">
        <f>D218*325</f>
        <v>44200</v>
      </c>
      <c r="G218" s="400"/>
      <c r="H218" s="259"/>
    </row>
    <row r="219" spans="1:8" ht="12.75">
      <c r="A219" s="251" t="s">
        <v>821</v>
      </c>
      <c r="B219" s="259" t="s">
        <v>837</v>
      </c>
      <c r="C219" s="261"/>
      <c r="D219" s="382">
        <v>136</v>
      </c>
      <c r="E219" s="252" t="s">
        <v>15</v>
      </c>
      <c r="F219" s="245">
        <f>D219*100</f>
        <v>13600</v>
      </c>
      <c r="G219" s="400"/>
      <c r="H219" s="259" t="s">
        <v>1016</v>
      </c>
    </row>
    <row r="220" spans="1:8" ht="12.75">
      <c r="A220" s="251"/>
      <c r="B220" s="259" t="s">
        <v>1001</v>
      </c>
      <c r="C220" s="261"/>
      <c r="D220" s="382">
        <v>1</v>
      </c>
      <c r="E220" s="252" t="s">
        <v>17</v>
      </c>
      <c r="F220" s="245">
        <f>9!C49</f>
        <v>241750</v>
      </c>
      <c r="G220" s="400"/>
      <c r="H220" s="259"/>
    </row>
    <row r="221" spans="1:8" ht="12.75">
      <c r="A221" s="251" t="s">
        <v>838</v>
      </c>
      <c r="B221" s="259" t="s">
        <v>839</v>
      </c>
      <c r="C221" s="261"/>
      <c r="D221" s="382">
        <v>136</v>
      </c>
      <c r="E221" s="252" t="s">
        <v>15</v>
      </c>
      <c r="F221" s="447">
        <f>D221*2000</f>
        <v>272000</v>
      </c>
      <c r="G221" s="400"/>
      <c r="H221" t="s">
        <v>905</v>
      </c>
    </row>
    <row r="222" spans="1:8" ht="12.75">
      <c r="A222" s="251" t="s">
        <v>819</v>
      </c>
      <c r="B222" s="259" t="s">
        <v>840</v>
      </c>
      <c r="C222" s="261"/>
      <c r="D222" s="382">
        <v>136</v>
      </c>
      <c r="E222" s="252" t="s">
        <v>15</v>
      </c>
      <c r="F222" s="245">
        <f>D222*100</f>
        <v>13600</v>
      </c>
      <c r="G222" s="400"/>
      <c r="H222" s="259"/>
    </row>
    <row r="223" spans="1:8" ht="12.75">
      <c r="A223" s="251" t="s">
        <v>824</v>
      </c>
      <c r="B223" s="259" t="s">
        <v>841</v>
      </c>
      <c r="C223" s="261"/>
      <c r="D223" s="382">
        <v>6800</v>
      </c>
      <c r="E223" s="252" t="s">
        <v>14</v>
      </c>
      <c r="F223" s="245">
        <f>D223*8</f>
        <v>54400</v>
      </c>
      <c r="G223" s="400"/>
      <c r="H223" s="259" t="s">
        <v>1016</v>
      </c>
    </row>
    <row r="224" spans="1:8" ht="12.75">
      <c r="A224" s="251" t="s">
        <v>822</v>
      </c>
      <c r="B224" s="259" t="s">
        <v>842</v>
      </c>
      <c r="C224" s="261"/>
      <c r="D224" s="382">
        <v>952</v>
      </c>
      <c r="E224" s="252" t="s">
        <v>15</v>
      </c>
      <c r="F224" s="245">
        <f>D224*100</f>
        <v>95200</v>
      </c>
      <c r="G224" s="400"/>
      <c r="H224" s="259"/>
    </row>
    <row r="225" spans="1:8" ht="12.75">
      <c r="A225" s="251" t="s">
        <v>843</v>
      </c>
      <c r="B225" s="259" t="s">
        <v>844</v>
      </c>
      <c r="C225" s="261"/>
      <c r="D225" s="382">
        <v>21</v>
      </c>
      <c r="E225" s="252" t="s">
        <v>15</v>
      </c>
      <c r="F225" s="245">
        <v>0</v>
      </c>
      <c r="G225" s="400"/>
      <c r="H225" s="259" t="s">
        <v>1028</v>
      </c>
    </row>
    <row r="226" spans="1:8" ht="12.75">
      <c r="A226" s="251" t="s">
        <v>845</v>
      </c>
      <c r="B226" s="259" t="s">
        <v>846</v>
      </c>
      <c r="C226" s="261"/>
      <c r="D226" s="382">
        <v>5440</v>
      </c>
      <c r="E226" s="252" t="s">
        <v>16</v>
      </c>
      <c r="F226" s="245">
        <f>D226*8</f>
        <v>43520</v>
      </c>
      <c r="G226" s="400"/>
      <c r="H226" s="259" t="s">
        <v>1016</v>
      </c>
    </row>
    <row r="227" spans="1:8" ht="12.75">
      <c r="A227" s="251" t="s">
        <v>823</v>
      </c>
      <c r="B227" s="259" t="s">
        <v>847</v>
      </c>
      <c r="C227" s="261"/>
      <c r="D227" s="382"/>
      <c r="E227" s="252"/>
      <c r="F227" s="367">
        <f>D227*136</f>
        <v>0</v>
      </c>
      <c r="G227" s="400"/>
      <c r="H227" s="259" t="s">
        <v>944</v>
      </c>
    </row>
    <row r="228" spans="1:8" ht="12.75">
      <c r="A228" s="251" t="s">
        <v>820</v>
      </c>
      <c r="B228" s="259" t="s">
        <v>848</v>
      </c>
      <c r="C228" s="261"/>
      <c r="D228" s="382"/>
      <c r="E228" s="252"/>
      <c r="F228" s="367">
        <f>D228*75</f>
        <v>0</v>
      </c>
      <c r="G228" s="400"/>
      <c r="H228" s="259" t="s">
        <v>1018</v>
      </c>
    </row>
    <row r="229" spans="1:8" ht="12.75">
      <c r="A229" s="376"/>
      <c r="B229" s="295" t="s">
        <v>945</v>
      </c>
      <c r="C229" s="377"/>
      <c r="D229" s="389">
        <v>78700</v>
      </c>
      <c r="E229" s="378" t="s">
        <v>14</v>
      </c>
      <c r="F229" s="245">
        <f>D229*6</f>
        <v>472200</v>
      </c>
      <c r="G229" s="407"/>
      <c r="H229" s="295"/>
    </row>
    <row r="230" spans="1:9" ht="12.75">
      <c r="A230" s="376"/>
      <c r="B230" s="295" t="s">
        <v>910</v>
      </c>
      <c r="C230" s="377"/>
      <c r="D230" s="389">
        <v>107700</v>
      </c>
      <c r="E230" s="378" t="s">
        <v>14</v>
      </c>
      <c r="F230" s="245">
        <f>D230*0.5</f>
        <v>53850</v>
      </c>
      <c r="G230" s="407"/>
      <c r="H230" s="295"/>
      <c r="I230" s="45"/>
    </row>
    <row r="231" spans="1:8" ht="13.5" thickBot="1">
      <c r="A231" s="334">
        <v>7</v>
      </c>
      <c r="B231" s="313" t="s">
        <v>911</v>
      </c>
      <c r="C231" s="314"/>
      <c r="D231" s="383">
        <v>125000</v>
      </c>
      <c r="E231" s="315" t="s">
        <v>14</v>
      </c>
      <c r="F231" s="316">
        <f>D231*0.5</f>
        <v>62500</v>
      </c>
      <c r="G231" s="401"/>
      <c r="H231" s="313"/>
    </row>
    <row r="232" spans="1:8" ht="12.75">
      <c r="A232" s="364"/>
      <c r="B232" s="343"/>
      <c r="C232" s="308"/>
      <c r="D232" s="385"/>
      <c r="E232" s="309"/>
      <c r="F232" s="310"/>
      <c r="G232" s="310"/>
      <c r="H232" s="307"/>
    </row>
    <row r="233" spans="1:8" ht="13.5" thickBot="1">
      <c r="A233" s="457" t="s">
        <v>849</v>
      </c>
      <c r="B233" s="458"/>
      <c r="C233" s="349"/>
      <c r="D233" s="387"/>
      <c r="E233" s="339"/>
      <c r="F233" s="340"/>
      <c r="G233" s="340"/>
      <c r="H233" s="341"/>
    </row>
    <row r="234" spans="1:9" ht="13.5" thickTop="1">
      <c r="A234" s="325" t="s">
        <v>851</v>
      </c>
      <c r="B234" s="307" t="s">
        <v>850</v>
      </c>
      <c r="C234" s="308"/>
      <c r="D234" s="385">
        <v>233</v>
      </c>
      <c r="E234" s="309" t="s">
        <v>15</v>
      </c>
      <c r="F234" s="310">
        <f>D234*1000</f>
        <v>233000</v>
      </c>
      <c r="G234" s="310">
        <f>F234</f>
        <v>233000</v>
      </c>
      <c r="H234" s="307" t="s">
        <v>906</v>
      </c>
      <c r="I234" s="45" t="s">
        <v>922</v>
      </c>
    </row>
    <row r="235" spans="1:9" ht="12.75">
      <c r="A235" s="251" t="s">
        <v>853</v>
      </c>
      <c r="B235" s="259" t="s">
        <v>852</v>
      </c>
      <c r="C235" s="261"/>
      <c r="D235" s="382">
        <v>2</v>
      </c>
      <c r="E235" s="252" t="s">
        <v>15</v>
      </c>
      <c r="F235" s="245">
        <f>D235*2500</f>
        <v>5000</v>
      </c>
      <c r="G235" s="245">
        <f aca="true" t="shared" si="2" ref="G235:G269">F235</f>
        <v>5000</v>
      </c>
      <c r="H235" s="259" t="s">
        <v>907</v>
      </c>
      <c r="I235" t="s">
        <v>922</v>
      </c>
    </row>
    <row r="236" spans="1:8" ht="12.75">
      <c r="A236" s="348"/>
      <c r="B236" s="303"/>
      <c r="C236" s="261"/>
      <c r="D236" s="382"/>
      <c r="E236" s="252"/>
      <c r="F236" s="245"/>
      <c r="G236" s="245"/>
      <c r="H236" s="259"/>
    </row>
    <row r="237" spans="1:8" ht="13.5" thickBot="1">
      <c r="A237" s="457" t="s">
        <v>854</v>
      </c>
      <c r="B237" s="458"/>
      <c r="C237" s="349"/>
      <c r="D237" s="387">
        <f>'10'!J75</f>
        <v>0</v>
      </c>
      <c r="E237" s="339"/>
      <c r="F237" s="340">
        <f>SUM(C237:D237)</f>
        <v>0</v>
      </c>
      <c r="G237" s="340">
        <f t="shared" si="2"/>
        <v>0</v>
      </c>
      <c r="H237" s="341"/>
    </row>
    <row r="238" spans="1:9" ht="13.5" thickTop="1">
      <c r="A238" s="325">
        <v>1</v>
      </c>
      <c r="B238" s="307" t="s">
        <v>855</v>
      </c>
      <c r="C238" s="308"/>
      <c r="D238" s="391">
        <v>51500</v>
      </c>
      <c r="E238" s="374" t="s">
        <v>14</v>
      </c>
      <c r="F238" s="445">
        <f>D238*2.75</f>
        <v>141625</v>
      </c>
      <c r="G238" s="310">
        <f t="shared" si="2"/>
        <v>141625</v>
      </c>
      <c r="H238" s="307" t="s">
        <v>908</v>
      </c>
      <c r="I238" t="s">
        <v>922</v>
      </c>
    </row>
    <row r="239" spans="1:9" ht="12.75">
      <c r="A239" s="251" t="s">
        <v>857</v>
      </c>
      <c r="B239" s="259" t="s">
        <v>856</v>
      </c>
      <c r="C239" s="261"/>
      <c r="D239" s="392">
        <v>154400</v>
      </c>
      <c r="E239" s="375" t="s">
        <v>14</v>
      </c>
      <c r="F239" s="245">
        <f>D239*1</f>
        <v>154400</v>
      </c>
      <c r="G239" s="245">
        <f t="shared" si="2"/>
        <v>154400</v>
      </c>
      <c r="H239" s="259" t="s">
        <v>882</v>
      </c>
      <c r="I239" t="s">
        <v>922</v>
      </c>
    </row>
    <row r="240" spans="1:8" ht="12.75">
      <c r="A240" s="348"/>
      <c r="B240" s="303"/>
      <c r="C240" s="261"/>
      <c r="D240" s="392"/>
      <c r="E240" s="375"/>
      <c r="F240" s="245"/>
      <c r="G240" s="245"/>
      <c r="H240" s="259"/>
    </row>
    <row r="241" spans="1:8" ht="13.5" thickBot="1">
      <c r="A241" s="457" t="s">
        <v>372</v>
      </c>
      <c r="B241" s="458"/>
      <c r="C241" s="349"/>
      <c r="D241" s="387"/>
      <c r="E241" s="339"/>
      <c r="F241" s="340"/>
      <c r="G241" s="340"/>
      <c r="H241" s="341"/>
    </row>
    <row r="242" spans="1:9" ht="13.5" thickTop="1">
      <c r="A242" s="325">
        <v>2</v>
      </c>
      <c r="B242" s="307" t="s">
        <v>858</v>
      </c>
      <c r="C242" s="308"/>
      <c r="D242" s="385">
        <v>500</v>
      </c>
      <c r="E242" s="309" t="s">
        <v>15</v>
      </c>
      <c r="F242" s="310">
        <f>D242*100</f>
        <v>50000</v>
      </c>
      <c r="G242" s="310">
        <f t="shared" si="2"/>
        <v>50000</v>
      </c>
      <c r="H242" s="307" t="s">
        <v>1019</v>
      </c>
      <c r="I242" t="s">
        <v>922</v>
      </c>
    </row>
    <row r="243" spans="1:9" ht="12.75">
      <c r="A243" s="251">
        <v>5</v>
      </c>
      <c r="B243" s="259" t="s">
        <v>859</v>
      </c>
      <c r="C243" s="261"/>
      <c r="D243" s="382">
        <v>1</v>
      </c>
      <c r="E243" s="252" t="s">
        <v>17</v>
      </c>
      <c r="F243" s="245">
        <v>35000</v>
      </c>
      <c r="G243" s="245">
        <f t="shared" si="2"/>
        <v>35000</v>
      </c>
      <c r="H243" s="259"/>
      <c r="I243" t="s">
        <v>922</v>
      </c>
    </row>
    <row r="244" spans="1:9" ht="12.75">
      <c r="A244" s="251" t="s">
        <v>860</v>
      </c>
      <c r="B244" s="259" t="s">
        <v>861</v>
      </c>
      <c r="C244" s="261"/>
      <c r="D244" s="382">
        <v>8</v>
      </c>
      <c r="E244" s="252" t="s">
        <v>15</v>
      </c>
      <c r="F244" s="245">
        <f>D244*500</f>
        <v>4000</v>
      </c>
      <c r="G244" s="245">
        <f t="shared" si="2"/>
        <v>4000</v>
      </c>
      <c r="H244" s="259"/>
      <c r="I244" t="s">
        <v>922</v>
      </c>
    </row>
    <row r="245" spans="1:9" ht="12.75">
      <c r="A245" s="251">
        <v>10</v>
      </c>
      <c r="B245" s="259" t="s">
        <v>862</v>
      </c>
      <c r="C245" s="261"/>
      <c r="D245" s="382">
        <v>136</v>
      </c>
      <c r="E245" s="252" t="s">
        <v>15</v>
      </c>
      <c r="F245" s="245">
        <f>D245*500</f>
        <v>68000</v>
      </c>
      <c r="G245" s="245">
        <f t="shared" si="2"/>
        <v>68000</v>
      </c>
      <c r="H245" s="259"/>
      <c r="I245" t="s">
        <v>922</v>
      </c>
    </row>
    <row r="246" spans="1:9" ht="12.75">
      <c r="A246" s="251">
        <v>18</v>
      </c>
      <c r="B246" s="259" t="s">
        <v>863</v>
      </c>
      <c r="C246" s="261"/>
      <c r="D246" s="382">
        <v>1</v>
      </c>
      <c r="E246" s="252" t="s">
        <v>17</v>
      </c>
      <c r="F246" s="245">
        <f>D246*15000</f>
        <v>15000</v>
      </c>
      <c r="G246" s="245">
        <f t="shared" si="2"/>
        <v>15000</v>
      </c>
      <c r="H246" s="259"/>
      <c r="I246" t="s">
        <v>922</v>
      </c>
    </row>
    <row r="247" spans="1:9" ht="12.75">
      <c r="A247" s="251"/>
      <c r="B247" s="259" t="s">
        <v>864</v>
      </c>
      <c r="C247" s="261"/>
      <c r="D247" s="382">
        <v>1</v>
      </c>
      <c r="E247" s="252" t="s">
        <v>17</v>
      </c>
      <c r="F247" s="245">
        <f>D247*5000</f>
        <v>5000</v>
      </c>
      <c r="G247" s="245">
        <f t="shared" si="2"/>
        <v>5000</v>
      </c>
      <c r="H247" s="259"/>
      <c r="I247" t="s">
        <v>922</v>
      </c>
    </row>
    <row r="248" spans="1:9" ht="12.75">
      <c r="A248" s="251">
        <v>19</v>
      </c>
      <c r="B248" s="259" t="s">
        <v>865</v>
      </c>
      <c r="C248" s="261"/>
      <c r="D248" s="382">
        <v>1</v>
      </c>
      <c r="E248" s="252" t="s">
        <v>17</v>
      </c>
      <c r="F248" s="245">
        <f>D248*7500</f>
        <v>7500</v>
      </c>
      <c r="G248" s="245">
        <f t="shared" si="2"/>
        <v>7500</v>
      </c>
      <c r="H248" s="259"/>
      <c r="I248" t="s">
        <v>922</v>
      </c>
    </row>
    <row r="249" spans="1:8" ht="12.75">
      <c r="A249" s="348"/>
      <c r="B249" s="303"/>
      <c r="C249" s="261"/>
      <c r="D249" s="382"/>
      <c r="E249" s="252"/>
      <c r="F249" s="245"/>
      <c r="G249" s="245"/>
      <c r="H249" s="259"/>
    </row>
    <row r="250" spans="1:8" ht="13.5" thickBot="1">
      <c r="A250" s="457" t="s">
        <v>77</v>
      </c>
      <c r="B250" s="458"/>
      <c r="C250" s="349"/>
      <c r="D250" s="387"/>
      <c r="E250" s="339"/>
      <c r="F250" s="340"/>
      <c r="G250" s="340"/>
      <c r="H250" s="341"/>
    </row>
    <row r="251" spans="1:9" ht="13.5" thickTop="1">
      <c r="A251" s="325">
        <v>1</v>
      </c>
      <c r="B251" s="307" t="s">
        <v>866</v>
      </c>
      <c r="C251" s="308"/>
      <c r="D251" s="385">
        <v>144</v>
      </c>
      <c r="E251" s="309" t="s">
        <v>15</v>
      </c>
      <c r="F251" s="310">
        <f>D251*4000</f>
        <v>576000</v>
      </c>
      <c r="G251" s="310">
        <f t="shared" si="2"/>
        <v>576000</v>
      </c>
      <c r="H251" s="307"/>
      <c r="I251" t="s">
        <v>922</v>
      </c>
    </row>
    <row r="252" spans="1:9" ht="12.75">
      <c r="A252" s="251">
        <v>2</v>
      </c>
      <c r="B252" s="259" t="s">
        <v>867</v>
      </c>
      <c r="C252" s="261"/>
      <c r="D252" s="382">
        <v>144</v>
      </c>
      <c r="E252" s="252" t="s">
        <v>15</v>
      </c>
      <c r="F252" s="245">
        <f>D252*250</f>
        <v>36000</v>
      </c>
      <c r="G252" s="245">
        <f t="shared" si="2"/>
        <v>36000</v>
      </c>
      <c r="H252" s="259"/>
      <c r="I252" t="s">
        <v>922</v>
      </c>
    </row>
    <row r="253" spans="1:9" ht="12.75">
      <c r="A253" s="251">
        <v>4</v>
      </c>
      <c r="B253" s="259" t="s">
        <v>868</v>
      </c>
      <c r="C253" s="261"/>
      <c r="D253" s="382">
        <v>144</v>
      </c>
      <c r="E253" s="252" t="s">
        <v>15</v>
      </c>
      <c r="F253" s="245">
        <f>D253*150</f>
        <v>21600</v>
      </c>
      <c r="G253" s="245">
        <f t="shared" si="2"/>
        <v>21600</v>
      </c>
      <c r="H253" s="259"/>
      <c r="I253" t="s">
        <v>922</v>
      </c>
    </row>
    <row r="254" spans="1:9" ht="12.75">
      <c r="A254" s="251">
        <v>1</v>
      </c>
      <c r="B254" s="259" t="s">
        <v>869</v>
      </c>
      <c r="C254" s="261"/>
      <c r="D254" s="382">
        <v>10</v>
      </c>
      <c r="E254" s="365" t="s">
        <v>15</v>
      </c>
      <c r="F254" s="245">
        <f>D254*1000</f>
        <v>10000</v>
      </c>
      <c r="G254" s="245">
        <f t="shared" si="2"/>
        <v>10000</v>
      </c>
      <c r="H254" s="259"/>
      <c r="I254" t="s">
        <v>922</v>
      </c>
    </row>
    <row r="255" spans="1:8" ht="12.75">
      <c r="A255" s="348"/>
      <c r="B255" s="303"/>
      <c r="C255" s="261"/>
      <c r="D255" s="382"/>
      <c r="E255" s="252"/>
      <c r="F255" s="245"/>
      <c r="G255" s="245"/>
      <c r="H255" s="259"/>
    </row>
    <row r="256" spans="1:8" ht="13.5" thickBot="1">
      <c r="A256" s="457" t="s">
        <v>6</v>
      </c>
      <c r="B256" s="458"/>
      <c r="C256" s="349"/>
      <c r="D256" s="387"/>
      <c r="E256" s="339"/>
      <c r="F256" s="340"/>
      <c r="G256" s="340"/>
      <c r="H256" s="341"/>
    </row>
    <row r="257" spans="1:9" ht="13.5" thickTop="1">
      <c r="A257" s="325">
        <v>2</v>
      </c>
      <c r="B257" s="307" t="s">
        <v>870</v>
      </c>
      <c r="C257" s="308"/>
      <c r="D257" s="385">
        <v>154400</v>
      </c>
      <c r="E257" s="309" t="s">
        <v>14</v>
      </c>
      <c r="F257" s="310">
        <f>D257*1</f>
        <v>154400</v>
      </c>
      <c r="G257" s="310">
        <f t="shared" si="2"/>
        <v>154400</v>
      </c>
      <c r="H257" s="307"/>
      <c r="I257" t="s">
        <v>922</v>
      </c>
    </row>
    <row r="258" spans="1:9" ht="12.75">
      <c r="A258" s="251">
        <v>3</v>
      </c>
      <c r="B258" s="259" t="s">
        <v>871</v>
      </c>
      <c r="C258" s="261"/>
      <c r="D258" s="382">
        <f>'10'!J93</f>
        <v>0</v>
      </c>
      <c r="E258" s="252"/>
      <c r="F258" s="245"/>
      <c r="G258" s="245"/>
      <c r="H258" s="259"/>
      <c r="I258" t="s">
        <v>922</v>
      </c>
    </row>
    <row r="259" spans="1:9" ht="12.75">
      <c r="A259" s="251"/>
      <c r="B259" s="259" t="s">
        <v>872</v>
      </c>
      <c r="C259" s="261"/>
      <c r="D259" s="382">
        <v>1</v>
      </c>
      <c r="E259" s="252" t="s">
        <v>17</v>
      </c>
      <c r="F259" s="245">
        <f>D259*6000</f>
        <v>6000</v>
      </c>
      <c r="G259" s="245">
        <f t="shared" si="2"/>
        <v>6000</v>
      </c>
      <c r="H259" s="259" t="s">
        <v>898</v>
      </c>
      <c r="I259" t="s">
        <v>922</v>
      </c>
    </row>
    <row r="260" spans="1:9" ht="12.75">
      <c r="A260" s="251"/>
      <c r="B260" s="259" t="s">
        <v>873</v>
      </c>
      <c r="C260" s="261"/>
      <c r="D260" s="382">
        <f>'10'!J95</f>
        <v>0</v>
      </c>
      <c r="E260" s="252"/>
      <c r="F260" s="367">
        <f>SUM(C260:D260)</f>
        <v>0</v>
      </c>
      <c r="G260" s="400">
        <f t="shared" si="2"/>
        <v>0</v>
      </c>
      <c r="H260" s="259" t="s">
        <v>383</v>
      </c>
      <c r="I260" t="s">
        <v>922</v>
      </c>
    </row>
    <row r="261" spans="1:9" ht="12.75">
      <c r="A261" s="251">
        <v>4</v>
      </c>
      <c r="B261" s="259" t="s">
        <v>874</v>
      </c>
      <c r="C261" s="261"/>
      <c r="D261" s="382">
        <f>'10'!J96</f>
        <v>0</v>
      </c>
      <c r="E261" s="252"/>
      <c r="F261" s="367">
        <f>SUM(C261:D261)</f>
        <v>0</v>
      </c>
      <c r="G261" s="400">
        <f t="shared" si="2"/>
        <v>0</v>
      </c>
      <c r="H261" s="259"/>
      <c r="I261" t="s">
        <v>922</v>
      </c>
    </row>
    <row r="262" spans="1:9" ht="12.75">
      <c r="A262" s="251">
        <v>7</v>
      </c>
      <c r="B262" s="259" t="s">
        <v>875</v>
      </c>
      <c r="C262" s="261"/>
      <c r="D262" s="382">
        <v>144</v>
      </c>
      <c r="E262" s="252" t="s">
        <v>15</v>
      </c>
      <c r="F262" s="245">
        <f>D262*500</f>
        <v>72000</v>
      </c>
      <c r="G262" s="245">
        <f t="shared" si="2"/>
        <v>72000</v>
      </c>
      <c r="H262" s="259"/>
      <c r="I262" t="s">
        <v>922</v>
      </c>
    </row>
    <row r="263" spans="1:9" ht="12.75">
      <c r="A263" s="251">
        <v>13</v>
      </c>
      <c r="B263" s="352" t="s">
        <v>876</v>
      </c>
      <c r="C263" s="261"/>
      <c r="D263" s="382">
        <v>6900</v>
      </c>
      <c r="E263" s="252" t="s">
        <v>14</v>
      </c>
      <c r="F263" s="245">
        <f>D263*3</f>
        <v>20700</v>
      </c>
      <c r="G263" s="245">
        <f t="shared" si="2"/>
        <v>20700</v>
      </c>
      <c r="H263" s="259"/>
      <c r="I263" t="s">
        <v>922</v>
      </c>
    </row>
    <row r="264" spans="1:9" ht="12.75">
      <c r="A264" s="251">
        <v>16</v>
      </c>
      <c r="B264" s="259" t="s">
        <v>909</v>
      </c>
      <c r="C264" s="261"/>
      <c r="D264" s="382">
        <f>'10'!J100</f>
        <v>0</v>
      </c>
      <c r="E264" s="252"/>
      <c r="F264" s="367">
        <f>SUM(C264:D264)</f>
        <v>0</v>
      </c>
      <c r="G264" s="400">
        <f t="shared" si="2"/>
        <v>0</v>
      </c>
      <c r="H264" s="259"/>
      <c r="I264" t="s">
        <v>922</v>
      </c>
    </row>
    <row r="265" spans="1:9" ht="12.75">
      <c r="A265" s="251">
        <v>17</v>
      </c>
      <c r="B265" s="259" t="s">
        <v>877</v>
      </c>
      <c r="C265" s="261"/>
      <c r="D265" s="382">
        <v>12</v>
      </c>
      <c r="E265" s="252" t="s">
        <v>15</v>
      </c>
      <c r="F265" s="245">
        <f>D265*2500</f>
        <v>30000</v>
      </c>
      <c r="G265" s="245">
        <f t="shared" si="2"/>
        <v>30000</v>
      </c>
      <c r="H265" s="259"/>
      <c r="I265" t="s">
        <v>922</v>
      </c>
    </row>
    <row r="266" spans="1:9" ht="12.75">
      <c r="A266" s="348"/>
      <c r="B266" s="303" t="s">
        <v>941</v>
      </c>
      <c r="C266" s="261"/>
      <c r="D266" s="382">
        <v>144</v>
      </c>
      <c r="E266" s="252" t="s">
        <v>15</v>
      </c>
      <c r="F266" s="447">
        <f>D266*1000</f>
        <v>144000</v>
      </c>
      <c r="G266" s="245">
        <f t="shared" si="2"/>
        <v>144000</v>
      </c>
      <c r="H266" s="259"/>
      <c r="I266" t="s">
        <v>922</v>
      </c>
    </row>
    <row r="267" spans="1:8" ht="13.5" thickBot="1">
      <c r="A267" s="457" t="s">
        <v>602</v>
      </c>
      <c r="B267" s="458"/>
      <c r="C267" s="349"/>
      <c r="D267" s="387"/>
      <c r="E267" s="339"/>
      <c r="F267" s="340"/>
      <c r="G267" s="340"/>
      <c r="H267" s="341"/>
    </row>
    <row r="268" spans="1:9" ht="13.5" thickTop="1">
      <c r="A268" s="306">
        <v>1</v>
      </c>
      <c r="B268" s="307" t="s">
        <v>1029</v>
      </c>
      <c r="C268" s="308"/>
      <c r="D268" s="385">
        <v>2</v>
      </c>
      <c r="E268" s="309" t="s">
        <v>15</v>
      </c>
      <c r="F268" s="310">
        <f>D268*35000</f>
        <v>70000</v>
      </c>
      <c r="G268" s="310">
        <f t="shared" si="2"/>
        <v>70000</v>
      </c>
      <c r="H268" s="307"/>
      <c r="I268" t="s">
        <v>922</v>
      </c>
    </row>
    <row r="269" spans="1:9" ht="12.75">
      <c r="A269" s="251"/>
      <c r="B269" s="259" t="s">
        <v>891</v>
      </c>
      <c r="C269" s="261"/>
      <c r="D269" s="382">
        <v>2</v>
      </c>
      <c r="E269" s="252" t="s">
        <v>15</v>
      </c>
      <c r="F269" s="245">
        <f>D269*0</f>
        <v>0</v>
      </c>
      <c r="G269" s="310">
        <f t="shared" si="2"/>
        <v>0</v>
      </c>
      <c r="H269" s="454" t="s">
        <v>1030</v>
      </c>
      <c r="I269" t="s">
        <v>922</v>
      </c>
    </row>
    <row r="270" spans="1:8" ht="12.75">
      <c r="A270" s="251"/>
      <c r="B270" s="206"/>
      <c r="C270" s="261"/>
      <c r="D270" s="382">
        <f>'15-16'!J23</f>
        <v>0</v>
      </c>
      <c r="E270" s="252"/>
      <c r="F270" s="245">
        <f>SUM(C270:D270)</f>
        <v>0</v>
      </c>
      <c r="G270" s="245"/>
      <c r="H270" s="259"/>
    </row>
    <row r="271" spans="1:8" ht="12.75">
      <c r="A271" s="234"/>
      <c r="B271" s="206"/>
      <c r="C271" s="261"/>
      <c r="D271" s="382">
        <f>'15-16'!J31</f>
        <v>0</v>
      </c>
      <c r="E271" s="252"/>
      <c r="F271" s="245">
        <f>SUM(C271:D271)</f>
        <v>0</v>
      </c>
      <c r="G271" s="245"/>
      <c r="H271" s="259"/>
    </row>
    <row r="272" spans="1:8" ht="12.75">
      <c r="A272" s="169"/>
      <c r="B272" s="168" t="s">
        <v>373</v>
      </c>
      <c r="C272" s="262"/>
      <c r="D272" s="255" t="s">
        <v>374</v>
      </c>
      <c r="E272" s="255"/>
      <c r="F272" s="246"/>
      <c r="G272" s="246">
        <f>SUM(G6:G271)</f>
        <v>6875481.5</v>
      </c>
      <c r="H272" s="51"/>
    </row>
    <row r="273" spans="1:8" ht="12.75">
      <c r="A273" s="169"/>
      <c r="B273" s="168"/>
      <c r="C273" s="262"/>
      <c r="D273" s="477" t="s">
        <v>1002</v>
      </c>
      <c r="E273" s="411"/>
      <c r="F273" s="411"/>
      <c r="G273" s="412">
        <f>G272*10%</f>
        <v>687548.15</v>
      </c>
      <c r="H273" s="51"/>
    </row>
    <row r="274" spans="1:8" ht="12.75">
      <c r="A274" s="169"/>
      <c r="B274" s="168"/>
      <c r="C274" s="262"/>
      <c r="D274" s="300" t="s">
        <v>651</v>
      </c>
      <c r="E274" s="300"/>
      <c r="F274" s="246"/>
      <c r="G274" s="246">
        <f>(G272+G273)*6%</f>
        <v>453781.779</v>
      </c>
      <c r="H274" s="171"/>
    </row>
    <row r="275" spans="1:8" ht="12.75">
      <c r="A275" s="169"/>
      <c r="B275" s="168"/>
      <c r="C275" s="262"/>
      <c r="D275" s="255" t="s">
        <v>652</v>
      </c>
      <c r="E275" s="255"/>
      <c r="F275" s="246"/>
      <c r="G275" s="246">
        <f>(G272+G273)*2%</f>
        <v>151260.59300000002</v>
      </c>
      <c r="H275" s="172"/>
    </row>
    <row r="276" spans="1:8" ht="12.75">
      <c r="A276" s="169"/>
      <c r="B276" s="168"/>
      <c r="C276" s="262"/>
      <c r="D276" s="255" t="s">
        <v>653</v>
      </c>
      <c r="E276" s="255"/>
      <c r="F276" s="246"/>
      <c r="G276" s="478">
        <f>(G272+G273)*6%</f>
        <v>453781.779</v>
      </c>
      <c r="H276" s="172"/>
    </row>
    <row r="277" spans="1:8" ht="12.75">
      <c r="A277" s="169"/>
      <c r="B277" s="168"/>
      <c r="C277" s="262"/>
      <c r="D277" s="255" t="s">
        <v>3</v>
      </c>
      <c r="E277" s="255"/>
      <c r="F277" s="246"/>
      <c r="G277" s="246">
        <f>SUM(G272:G276)</f>
        <v>8621853.801</v>
      </c>
      <c r="H277" s="247"/>
    </row>
    <row r="278" spans="1:8" ht="12.75">
      <c r="A278" s="169"/>
      <c r="B278" s="51"/>
      <c r="C278" s="51"/>
      <c r="H278" s="51"/>
    </row>
    <row r="279" spans="1:8" ht="12.75">
      <c r="A279" s="169"/>
      <c r="B279" s="51"/>
      <c r="C279" s="51"/>
      <c r="D279" s="411"/>
      <c r="E279" s="411"/>
      <c r="F279" s="479" t="s">
        <v>1031</v>
      </c>
      <c r="G279" s="412">
        <f>SUM(G277:G278)</f>
        <v>8621853.801</v>
      </c>
      <c r="H279" s="51"/>
    </row>
    <row r="282" spans="7:8" ht="12.75">
      <c r="G282" s="448">
        <v>1985812</v>
      </c>
      <c r="H282" s="244" t="s">
        <v>1021</v>
      </c>
    </row>
    <row r="283" spans="7:8" ht="12.75">
      <c r="G283" s="448">
        <f>G282*1.22</f>
        <v>2422690.64</v>
      </c>
      <c r="H283" s="244" t="s">
        <v>1022</v>
      </c>
    </row>
    <row r="284" spans="7:8" ht="12.75">
      <c r="G284" s="448">
        <f>G283*0.5</f>
        <v>1211345.32</v>
      </c>
      <c r="H284" s="244" t="s">
        <v>1023</v>
      </c>
    </row>
    <row r="285" ht="12.75">
      <c r="F285" s="248">
        <f>G279</f>
        <v>8621853.801</v>
      </c>
    </row>
    <row r="286" ht="12.75">
      <c r="F286" s="449">
        <f>G284*-1</f>
        <v>-1211345.32</v>
      </c>
    </row>
    <row r="287" ht="12.75">
      <c r="F287" s="248">
        <f>SUM(F285:F286)</f>
        <v>7410508.481000001</v>
      </c>
    </row>
  </sheetData>
  <sheetProtection/>
  <mergeCells count="18">
    <mergeCell ref="A101:B101"/>
    <mergeCell ref="A110:B110"/>
    <mergeCell ref="E1:F1"/>
    <mergeCell ref="A6:B6"/>
    <mergeCell ref="A43:B43"/>
    <mergeCell ref="A65:B65"/>
    <mergeCell ref="A68:B68"/>
    <mergeCell ref="A78:B78"/>
    <mergeCell ref="A256:B256"/>
    <mergeCell ref="A267:B267"/>
    <mergeCell ref="A114:B114"/>
    <mergeCell ref="A157:B157"/>
    <mergeCell ref="A233:B233"/>
    <mergeCell ref="A237:B237"/>
    <mergeCell ref="A241:B241"/>
    <mergeCell ref="A250:B250"/>
    <mergeCell ref="A158:B158"/>
    <mergeCell ref="A204:B204"/>
  </mergeCells>
  <printOptions/>
  <pageMargins left="0.5" right="0" top="1" bottom="1" header="0.5" footer="0.5"/>
  <pageSetup horizontalDpi="600" verticalDpi="600"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</sheetPr>
  <dimension ref="A1:P61"/>
  <sheetViews>
    <sheetView zoomScalePageLayoutView="0" workbookViewId="0" topLeftCell="A15">
      <selection activeCell="F28" sqref="F28"/>
    </sheetView>
  </sheetViews>
  <sheetFormatPr defaultColWidth="9.140625" defaultRowHeight="12.75"/>
  <cols>
    <col min="1" max="1" width="9.57421875" style="0" bestFit="1" customWidth="1"/>
    <col min="2" max="2" width="44.7109375" style="0" bestFit="1" customWidth="1"/>
    <col min="3" max="3" width="10.28125" style="0" customWidth="1"/>
    <col min="4" max="4" width="9.7109375" style="0" customWidth="1"/>
    <col min="5" max="5" width="7.28125" style="17" customWidth="1"/>
    <col min="6" max="6" width="10.28125" style="0" customWidth="1"/>
    <col min="7" max="7" width="7.00390625" style="17" customWidth="1"/>
    <col min="8" max="8" width="14.00390625" style="0" bestFit="1" customWidth="1"/>
    <col min="9" max="9" width="7.00390625" style="17" customWidth="1"/>
    <col min="10" max="10" width="10.28125" style="0" customWidth="1"/>
  </cols>
  <sheetData>
    <row r="1" spans="1:8" s="45" customFormat="1" ht="12.75">
      <c r="A1" s="166" t="s">
        <v>446</v>
      </c>
      <c r="B1" s="195">
        <f>Spread!B1</f>
        <v>0</v>
      </c>
      <c r="C1" s="165" t="s">
        <v>370</v>
      </c>
      <c r="D1" s="196" t="e">
        <f>Spread!#REF!</f>
        <v>#REF!</v>
      </c>
      <c r="E1"/>
      <c r="F1" s="165" t="s">
        <v>371</v>
      </c>
      <c r="G1" s="51"/>
      <c r="H1" s="170" t="e">
        <f>Spread!#REF!</f>
        <v>#REF!</v>
      </c>
    </row>
    <row r="2" spans="1:8" s="45" customFormat="1" ht="12.75">
      <c r="A2" s="166"/>
      <c r="B2" s="195" t="e">
        <f>Spread!#REF!</f>
        <v>#REF!</v>
      </c>
      <c r="C2" s="51"/>
      <c r="D2" s="51"/>
      <c r="E2"/>
      <c r="F2" s="476" t="s">
        <v>447</v>
      </c>
      <c r="G2" s="476"/>
      <c r="H2" s="197" t="e">
        <f>Spread!#REF!</f>
        <v>#REF!</v>
      </c>
    </row>
    <row r="3" spans="1:9" s="45" customFormat="1" ht="12" customHeight="1">
      <c r="A3" s="168"/>
      <c r="B3" s="195">
        <f>Spread!B3</f>
        <v>0</v>
      </c>
      <c r="C3" s="165" t="s">
        <v>445</v>
      </c>
      <c r="D3" s="51" t="e">
        <f>Spread!#REF!</f>
        <v>#REF!</v>
      </c>
      <c r="E3" s="51"/>
      <c r="F3" s="51"/>
      <c r="G3" s="51"/>
      <c r="H3" s="51"/>
      <c r="I3" s="118"/>
    </row>
    <row r="4" s="45" customFormat="1" ht="12" customHeight="1">
      <c r="B4" s="119"/>
    </row>
    <row r="5" spans="1:10" ht="12.75" customHeight="1">
      <c r="A5" s="1" t="s">
        <v>7</v>
      </c>
      <c r="B5" s="1" t="s">
        <v>0</v>
      </c>
      <c r="C5" s="1" t="s">
        <v>8</v>
      </c>
      <c r="D5" s="1" t="s">
        <v>9</v>
      </c>
      <c r="E5" s="18" t="s">
        <v>2</v>
      </c>
      <c r="F5" s="2"/>
      <c r="G5" s="18" t="s">
        <v>1</v>
      </c>
      <c r="H5" s="2"/>
      <c r="I5" s="18" t="s">
        <v>10</v>
      </c>
      <c r="J5" s="2"/>
    </row>
    <row r="6" spans="1:10" ht="12.75" customHeight="1" thickBot="1">
      <c r="A6" s="3"/>
      <c r="B6" s="3"/>
      <c r="C6" s="3"/>
      <c r="D6" s="3"/>
      <c r="E6" s="19" t="s">
        <v>11</v>
      </c>
      <c r="F6" s="3" t="s">
        <v>12</v>
      </c>
      <c r="G6" s="19" t="s">
        <v>11</v>
      </c>
      <c r="H6" s="3" t="s">
        <v>12</v>
      </c>
      <c r="I6" s="19" t="s">
        <v>13</v>
      </c>
      <c r="J6" s="3" t="s">
        <v>12</v>
      </c>
    </row>
    <row r="7" spans="1:10" ht="21" customHeight="1" thickTop="1">
      <c r="A7" s="4"/>
      <c r="B7" s="24" t="s">
        <v>140</v>
      </c>
      <c r="C7" s="34"/>
      <c r="D7" s="4"/>
      <c r="E7" s="7"/>
      <c r="F7" s="10"/>
      <c r="G7" s="7"/>
      <c r="H7" s="10"/>
      <c r="I7" s="7"/>
      <c r="J7" s="10"/>
    </row>
    <row r="8" spans="1:16" ht="21" customHeight="1">
      <c r="A8" s="5"/>
      <c r="B8" s="36" t="s">
        <v>236</v>
      </c>
      <c r="C8" s="38"/>
      <c r="D8" s="36" t="s">
        <v>15</v>
      </c>
      <c r="E8" s="8"/>
      <c r="F8" s="11">
        <f aca="true" t="shared" si="0" ref="F8:F13">C8*E8</f>
        <v>0</v>
      </c>
      <c r="G8" s="8"/>
      <c r="H8" s="11">
        <f aca="true" t="shared" si="1" ref="H8:H13">C8*G8</f>
        <v>0</v>
      </c>
      <c r="I8" s="52">
        <v>1500</v>
      </c>
      <c r="J8" s="11">
        <f>C8*I8</f>
        <v>0</v>
      </c>
      <c r="L8" s="45"/>
      <c r="M8" s="45"/>
      <c r="N8" s="45"/>
      <c r="O8" s="45"/>
      <c r="P8" s="45"/>
    </row>
    <row r="9" spans="1:16" ht="21" customHeight="1">
      <c r="A9" s="5"/>
      <c r="B9" s="36" t="s">
        <v>306</v>
      </c>
      <c r="C9" s="38"/>
      <c r="D9" s="36" t="s">
        <v>14</v>
      </c>
      <c r="E9" s="8"/>
      <c r="F9" s="11">
        <f t="shared" si="0"/>
        <v>0</v>
      </c>
      <c r="G9" s="8"/>
      <c r="H9" s="11">
        <f t="shared" si="1"/>
        <v>0</v>
      </c>
      <c r="I9" s="46">
        <v>45</v>
      </c>
      <c r="J9" s="11">
        <f>C9*I9</f>
        <v>0</v>
      </c>
      <c r="L9" s="45"/>
      <c r="M9" s="45"/>
      <c r="N9" s="45"/>
      <c r="O9" s="45"/>
      <c r="P9" s="45"/>
    </row>
    <row r="10" spans="1:16" ht="21" customHeight="1">
      <c r="A10" s="5"/>
      <c r="B10" s="5" t="s">
        <v>209</v>
      </c>
      <c r="C10" s="38"/>
      <c r="D10" s="5" t="s">
        <v>16</v>
      </c>
      <c r="E10" s="8"/>
      <c r="F10" s="11">
        <f t="shared" si="0"/>
        <v>0</v>
      </c>
      <c r="G10" s="8"/>
      <c r="H10" s="11">
        <f t="shared" si="1"/>
        <v>0</v>
      </c>
      <c r="I10" s="46">
        <v>10</v>
      </c>
      <c r="J10" s="11">
        <f>C10*I10</f>
        <v>0</v>
      </c>
      <c r="L10" s="45"/>
      <c r="M10" s="45"/>
      <c r="N10" s="45"/>
      <c r="O10" s="45"/>
      <c r="P10" s="45"/>
    </row>
    <row r="11" spans="1:16" ht="21" customHeight="1">
      <c r="A11" s="5"/>
      <c r="B11" s="5" t="s">
        <v>237</v>
      </c>
      <c r="C11" s="38"/>
      <c r="D11" s="5" t="s">
        <v>14</v>
      </c>
      <c r="E11" s="8"/>
      <c r="F11" s="11">
        <f t="shared" si="0"/>
        <v>0</v>
      </c>
      <c r="G11" s="8"/>
      <c r="H11" s="11">
        <f t="shared" si="1"/>
        <v>0</v>
      </c>
      <c r="I11" s="46">
        <v>40</v>
      </c>
      <c r="J11" s="11">
        <f>C11*I11</f>
        <v>0</v>
      </c>
      <c r="L11" s="45"/>
      <c r="M11" s="45"/>
      <c r="N11" s="45"/>
      <c r="O11" s="45"/>
      <c r="P11" s="45"/>
    </row>
    <row r="12" spans="1:16" ht="21" customHeight="1">
      <c r="A12" s="5"/>
      <c r="B12" s="5" t="s">
        <v>307</v>
      </c>
      <c r="C12" s="25"/>
      <c r="D12" s="5" t="s">
        <v>15</v>
      </c>
      <c r="E12" s="8"/>
      <c r="F12" s="11">
        <f t="shared" si="0"/>
        <v>0</v>
      </c>
      <c r="G12" s="8"/>
      <c r="H12" s="11">
        <f t="shared" si="1"/>
        <v>0</v>
      </c>
      <c r="I12" s="46"/>
      <c r="J12" s="11" t="s">
        <v>69</v>
      </c>
      <c r="L12" s="45"/>
      <c r="M12" s="45"/>
      <c r="N12" s="45"/>
      <c r="O12" s="45"/>
      <c r="P12" s="45"/>
    </row>
    <row r="13" spans="1:16" ht="21" customHeight="1" thickBot="1">
      <c r="A13" s="5"/>
      <c r="B13" s="298" t="s">
        <v>647</v>
      </c>
      <c r="C13" s="38"/>
      <c r="D13" s="298" t="s">
        <v>14</v>
      </c>
      <c r="E13" s="8"/>
      <c r="F13" s="11">
        <f t="shared" si="0"/>
        <v>0</v>
      </c>
      <c r="G13" s="8"/>
      <c r="H13" s="11">
        <f t="shared" si="1"/>
        <v>0</v>
      </c>
      <c r="I13" s="46">
        <v>10</v>
      </c>
      <c r="J13" s="11">
        <f>C13*I13</f>
        <v>0</v>
      </c>
      <c r="L13" s="45"/>
      <c r="M13" s="45"/>
      <c r="N13" s="45"/>
      <c r="O13" s="45"/>
      <c r="P13" s="45"/>
    </row>
    <row r="14" spans="1:10" ht="21" customHeight="1" thickTop="1">
      <c r="A14" s="5"/>
      <c r="B14" s="5"/>
      <c r="C14" s="35"/>
      <c r="D14" s="5"/>
      <c r="E14" s="56"/>
      <c r="F14" s="57">
        <f>SUM(F8:F13)</f>
        <v>0</v>
      </c>
      <c r="G14" s="56"/>
      <c r="H14" s="57">
        <f>SUM(H8:H13)</f>
        <v>0</v>
      </c>
      <c r="I14" s="56"/>
      <c r="J14" s="57">
        <f>SUM(J8:J13)</f>
        <v>0</v>
      </c>
    </row>
    <row r="15" spans="1:10" ht="21" customHeight="1">
      <c r="A15" s="5"/>
      <c r="B15" s="237" t="s">
        <v>487</v>
      </c>
      <c r="C15" s="233">
        <f>SUM(F14,H14,J14)</f>
        <v>0</v>
      </c>
      <c r="D15" s="5"/>
      <c r="E15" s="8"/>
      <c r="F15" s="11"/>
      <c r="G15" s="8"/>
      <c r="H15" s="11"/>
      <c r="I15" s="8"/>
      <c r="J15" s="11"/>
    </row>
    <row r="16" spans="1:10" ht="12" customHeight="1">
      <c r="A16" s="5"/>
      <c r="B16" s="5"/>
      <c r="C16" s="35"/>
      <c r="D16" s="5"/>
      <c r="E16" s="8"/>
      <c r="F16" s="11"/>
      <c r="G16" s="8"/>
      <c r="H16" s="11"/>
      <c r="I16" s="8"/>
      <c r="J16" s="11"/>
    </row>
    <row r="17" spans="1:10" ht="21" customHeight="1">
      <c r="A17" s="5"/>
      <c r="B17" s="20" t="s">
        <v>274</v>
      </c>
      <c r="C17" s="35"/>
      <c r="D17" s="5"/>
      <c r="E17" s="8"/>
      <c r="F17" s="11"/>
      <c r="G17" s="8"/>
      <c r="H17" s="11"/>
      <c r="I17" s="8"/>
      <c r="J17" s="11"/>
    </row>
    <row r="18" spans="1:10" ht="21" customHeight="1">
      <c r="A18" s="5"/>
      <c r="B18" s="30" t="s">
        <v>308</v>
      </c>
      <c r="C18" s="101"/>
      <c r="D18" s="5" t="s">
        <v>15</v>
      </c>
      <c r="E18" s="22"/>
      <c r="F18" s="23">
        <f>C18*E18</f>
        <v>0</v>
      </c>
      <c r="G18" s="22"/>
      <c r="H18" s="23">
        <f>C18*G18</f>
        <v>0</v>
      </c>
      <c r="I18" s="64">
        <v>2000</v>
      </c>
      <c r="J18" s="23">
        <f>C18*I18</f>
        <v>0</v>
      </c>
    </row>
    <row r="19" spans="1:10" ht="21" customHeight="1" thickBot="1">
      <c r="A19" s="5"/>
      <c r="B19" s="30" t="s">
        <v>368</v>
      </c>
      <c r="C19" s="101"/>
      <c r="D19" s="5" t="s">
        <v>15</v>
      </c>
      <c r="E19" s="22"/>
      <c r="F19" s="23">
        <f>C19*E19</f>
        <v>0</v>
      </c>
      <c r="G19" s="22"/>
      <c r="H19" s="23">
        <f>C19*G19</f>
        <v>0</v>
      </c>
      <c r="I19" s="64">
        <v>4000</v>
      </c>
      <c r="J19" s="23">
        <f>C19*I19</f>
        <v>0</v>
      </c>
    </row>
    <row r="20" spans="1:10" ht="21" customHeight="1" thickTop="1">
      <c r="A20" s="5"/>
      <c r="B20" s="5"/>
      <c r="C20" s="35"/>
      <c r="D20" s="5"/>
      <c r="E20" s="56"/>
      <c r="F20" s="57">
        <f>SUM(F18:F19)</f>
        <v>0</v>
      </c>
      <c r="G20" s="56"/>
      <c r="H20" s="57">
        <f>SUM(H18:H19)</f>
        <v>0</v>
      </c>
      <c r="I20" s="56"/>
      <c r="J20" s="57">
        <f>SUM(J18:J19)</f>
        <v>0</v>
      </c>
    </row>
    <row r="21" spans="1:10" ht="21" customHeight="1">
      <c r="A21" s="5"/>
      <c r="B21" s="237" t="s">
        <v>488</v>
      </c>
      <c r="C21" s="232">
        <f>SUM(F20,H20,J20)</f>
        <v>0</v>
      </c>
      <c r="D21" s="5"/>
      <c r="E21" s="8"/>
      <c r="F21" s="11"/>
      <c r="G21" s="8"/>
      <c r="H21" s="11"/>
      <c r="I21" s="8"/>
      <c r="J21" s="11"/>
    </row>
    <row r="22" spans="1:10" ht="12" customHeight="1">
      <c r="A22" s="5"/>
      <c r="B22" s="21"/>
      <c r="C22" s="35"/>
      <c r="D22" s="5"/>
      <c r="E22" s="8"/>
      <c r="F22" s="11"/>
      <c r="G22" s="8"/>
      <c r="H22" s="11"/>
      <c r="I22" s="8"/>
      <c r="J22" s="11"/>
    </row>
    <row r="23" spans="1:10" ht="21" customHeight="1">
      <c r="A23" s="5"/>
      <c r="B23" s="238" t="s">
        <v>490</v>
      </c>
      <c r="C23" s="35"/>
      <c r="D23" s="5"/>
      <c r="E23" s="8"/>
      <c r="F23" s="11"/>
      <c r="G23" s="8"/>
      <c r="H23" s="11"/>
      <c r="I23" s="8"/>
      <c r="J23" s="11"/>
    </row>
    <row r="24" spans="1:10" ht="21" customHeight="1" thickBot="1">
      <c r="A24" s="5"/>
      <c r="B24" s="30" t="s">
        <v>527</v>
      </c>
      <c r="C24" s="38"/>
      <c r="D24" s="5" t="s">
        <v>15</v>
      </c>
      <c r="E24" s="22"/>
      <c r="F24" s="23">
        <f>C24*E24</f>
        <v>0</v>
      </c>
      <c r="G24" s="22"/>
      <c r="H24" s="23">
        <f>C24*G24</f>
        <v>0</v>
      </c>
      <c r="I24" s="64">
        <v>5375</v>
      </c>
      <c r="J24" s="23">
        <f>C24*I24</f>
        <v>0</v>
      </c>
    </row>
    <row r="25" spans="1:10" ht="21" customHeight="1" thickTop="1">
      <c r="A25" s="5"/>
      <c r="B25" s="5"/>
      <c r="C25" s="35"/>
      <c r="D25" s="5"/>
      <c r="E25" s="56"/>
      <c r="F25" s="57">
        <f>SUM(F24)</f>
        <v>0</v>
      </c>
      <c r="G25" s="56"/>
      <c r="H25" s="57">
        <f>SUM(H24)</f>
        <v>0</v>
      </c>
      <c r="I25" s="56"/>
      <c r="J25" s="57">
        <f>SUM(J24)</f>
        <v>0</v>
      </c>
    </row>
    <row r="26" spans="1:10" ht="21" customHeight="1">
      <c r="A26" s="5"/>
      <c r="B26" s="237" t="s">
        <v>489</v>
      </c>
      <c r="C26" s="232">
        <f>SUM(F25,H25,J25)</f>
        <v>0</v>
      </c>
      <c r="D26" s="5"/>
      <c r="E26" s="8"/>
      <c r="F26" s="11"/>
      <c r="G26" s="8"/>
      <c r="H26" s="11"/>
      <c r="I26" s="8"/>
      <c r="J26" s="11"/>
    </row>
    <row r="27" spans="1:10" ht="12" customHeight="1">
      <c r="A27" s="5"/>
      <c r="B27" s="5"/>
      <c r="C27" s="35"/>
      <c r="D27" s="5"/>
      <c r="E27" s="8"/>
      <c r="F27" s="11"/>
      <c r="G27" s="8"/>
      <c r="H27" s="11"/>
      <c r="I27" s="8"/>
      <c r="J27" s="11"/>
    </row>
    <row r="28" spans="1:10" ht="21" customHeight="1">
      <c r="A28" s="5"/>
      <c r="B28" s="20" t="s">
        <v>48</v>
      </c>
      <c r="C28" s="35"/>
      <c r="D28" s="5"/>
      <c r="E28" s="8"/>
      <c r="F28" s="11"/>
      <c r="G28" s="8"/>
      <c r="H28" s="11"/>
      <c r="I28" s="8"/>
      <c r="J28" s="11"/>
    </row>
    <row r="29" spans="1:10" ht="21" customHeight="1">
      <c r="A29" s="25"/>
      <c r="B29" s="30" t="s">
        <v>309</v>
      </c>
      <c r="C29" s="101"/>
      <c r="D29" s="5" t="s">
        <v>15</v>
      </c>
      <c r="E29" s="22">
        <v>50</v>
      </c>
      <c r="F29" s="23">
        <f>C29*E29</f>
        <v>0</v>
      </c>
      <c r="G29" s="22">
        <v>55</v>
      </c>
      <c r="H29" s="23">
        <f>C29*G29</f>
        <v>0</v>
      </c>
      <c r="I29" s="64"/>
      <c r="J29" s="23">
        <f>C29*I29</f>
        <v>0</v>
      </c>
    </row>
    <row r="30" spans="1:10" ht="21" customHeight="1" thickBot="1">
      <c r="A30" s="25"/>
      <c r="B30" s="30" t="s">
        <v>310</v>
      </c>
      <c r="C30" s="101"/>
      <c r="D30" s="5" t="s">
        <v>15</v>
      </c>
      <c r="E30" s="22">
        <v>50</v>
      </c>
      <c r="F30" s="23">
        <f>C30*E30</f>
        <v>0</v>
      </c>
      <c r="G30" s="22">
        <v>90</v>
      </c>
      <c r="H30" s="23">
        <f>C30*G30</f>
        <v>0</v>
      </c>
      <c r="I30" s="64"/>
      <c r="J30" s="23">
        <f>C30*I30</f>
        <v>0</v>
      </c>
    </row>
    <row r="31" spans="1:10" ht="21" customHeight="1" thickTop="1">
      <c r="A31" s="5"/>
      <c r="B31" s="5"/>
      <c r="C31" s="35"/>
      <c r="D31" s="5"/>
      <c r="E31" s="56"/>
      <c r="F31" s="57">
        <f>SUM(F29:F30)</f>
        <v>0</v>
      </c>
      <c r="G31" s="56"/>
      <c r="H31" s="57">
        <f>SUM(H29:H30)</f>
        <v>0</v>
      </c>
      <c r="I31" s="56"/>
      <c r="J31" s="57">
        <f>SUM(J29:J30)</f>
        <v>0</v>
      </c>
    </row>
    <row r="32" spans="1:10" ht="21" customHeight="1">
      <c r="A32" s="5"/>
      <c r="B32" s="237" t="s">
        <v>491</v>
      </c>
      <c r="C32" s="232">
        <f>SUM(F31,H31,J31)</f>
        <v>0</v>
      </c>
      <c r="D32" s="5"/>
      <c r="E32" s="8"/>
      <c r="F32" s="11"/>
      <c r="G32" s="8"/>
      <c r="H32" s="11"/>
      <c r="I32" s="8"/>
      <c r="J32" s="11"/>
    </row>
    <row r="33" spans="1:10" ht="21" customHeight="1">
      <c r="A33" s="5"/>
      <c r="B33" s="5"/>
      <c r="C33" s="35"/>
      <c r="D33" s="5"/>
      <c r="E33" s="8"/>
      <c r="F33" s="11"/>
      <c r="G33" s="8"/>
      <c r="H33" s="11"/>
      <c r="I33" s="8"/>
      <c r="J33" s="11"/>
    </row>
    <row r="34" spans="1:10" ht="21" customHeight="1">
      <c r="A34" s="21"/>
      <c r="B34" s="21"/>
      <c r="C34" s="149"/>
      <c r="D34" s="21"/>
      <c r="E34" s="22"/>
      <c r="F34" s="23"/>
      <c r="G34" s="22"/>
      <c r="H34" s="23"/>
      <c r="I34" s="22"/>
      <c r="J34" s="23"/>
    </row>
    <row r="35" spans="1:10" ht="21" customHeight="1">
      <c r="A35" s="6"/>
      <c r="B35" s="6"/>
      <c r="C35" s="6"/>
      <c r="D35" s="6"/>
      <c r="E35" s="9"/>
      <c r="F35" s="12"/>
      <c r="G35" s="9"/>
      <c r="H35" s="12"/>
      <c r="I35" s="9"/>
      <c r="J35" s="12"/>
    </row>
    <row r="36" spans="1:10" ht="21" customHeight="1">
      <c r="A36" s="14"/>
      <c r="B36" s="14"/>
      <c r="C36" s="14"/>
      <c r="D36" s="14"/>
      <c r="E36" s="16"/>
      <c r="F36" s="15"/>
      <c r="G36" s="16"/>
      <c r="H36" s="15"/>
      <c r="I36" s="16"/>
      <c r="J36" s="15"/>
    </row>
    <row r="37" spans="1:10" ht="21" customHeight="1">
      <c r="A37" s="14"/>
      <c r="B37" s="14"/>
      <c r="C37" s="14"/>
      <c r="D37" s="14"/>
      <c r="E37" s="16"/>
      <c r="F37" s="15"/>
      <c r="G37" s="16"/>
      <c r="H37" s="15"/>
      <c r="I37" s="16"/>
      <c r="J37" s="15"/>
    </row>
    <row r="38" spans="1:10" ht="12.75">
      <c r="A38" s="14"/>
      <c r="B38" s="14"/>
      <c r="C38" s="14"/>
      <c r="D38" s="14"/>
      <c r="E38" s="16"/>
      <c r="F38" s="15"/>
      <c r="G38" s="16"/>
      <c r="H38" s="15"/>
      <c r="I38" s="16"/>
      <c r="J38" s="15"/>
    </row>
    <row r="39" spans="1:10" ht="12.75">
      <c r="A39" s="14"/>
      <c r="B39" s="14"/>
      <c r="C39" s="14"/>
      <c r="D39" s="14"/>
      <c r="E39" s="16"/>
      <c r="F39" s="15"/>
      <c r="G39" s="16"/>
      <c r="H39" s="15"/>
      <c r="I39" s="16"/>
      <c r="J39" s="15"/>
    </row>
    <row r="40" spans="1:10" ht="12.75">
      <c r="A40" s="14"/>
      <c r="B40" s="14"/>
      <c r="C40" s="14"/>
      <c r="D40" s="14"/>
      <c r="E40" s="16"/>
      <c r="F40" s="15"/>
      <c r="G40" s="16"/>
      <c r="H40" s="15"/>
      <c r="I40" s="16"/>
      <c r="J40" s="15"/>
    </row>
    <row r="41" spans="5:10" ht="12.75">
      <c r="E41" s="16"/>
      <c r="F41" s="15"/>
      <c r="G41" s="16"/>
      <c r="H41" s="15"/>
      <c r="I41" s="16"/>
      <c r="J41" s="15"/>
    </row>
    <row r="42" spans="5:10" ht="12.75">
      <c r="E42" s="16"/>
      <c r="F42" s="15"/>
      <c r="G42" s="16"/>
      <c r="H42" s="15"/>
      <c r="I42" s="16"/>
      <c r="J42" s="15"/>
    </row>
    <row r="43" spans="5:10" ht="12.75">
      <c r="E43" s="16"/>
      <c r="F43" s="15"/>
      <c r="G43" s="16"/>
      <c r="H43" s="15"/>
      <c r="I43" s="16"/>
      <c r="J43" s="15"/>
    </row>
    <row r="44" spans="5:10" ht="12.75">
      <c r="E44" s="16"/>
      <c r="F44" s="15"/>
      <c r="G44" s="16"/>
      <c r="H44" s="15"/>
      <c r="I44" s="16"/>
      <c r="J44" s="15"/>
    </row>
    <row r="45" spans="5:10" ht="12.75">
      <c r="E45" s="16"/>
      <c r="F45" s="15"/>
      <c r="G45" s="16"/>
      <c r="H45" s="15"/>
      <c r="I45" s="16"/>
      <c r="J45" s="15"/>
    </row>
    <row r="46" spans="5:10" ht="12.75">
      <c r="E46" s="16"/>
      <c r="F46" s="15"/>
      <c r="G46" s="16"/>
      <c r="H46" s="15"/>
      <c r="I46" s="16"/>
      <c r="J46" s="15"/>
    </row>
    <row r="47" spans="5:10" ht="12.75">
      <c r="E47" s="16"/>
      <c r="F47" s="15"/>
      <c r="G47" s="16"/>
      <c r="H47" s="15"/>
      <c r="I47" s="16"/>
      <c r="J47" s="15"/>
    </row>
    <row r="48" spans="5:10" ht="12.75">
      <c r="E48" s="16"/>
      <c r="F48" s="15"/>
      <c r="G48" s="16"/>
      <c r="H48" s="15"/>
      <c r="I48" s="16"/>
      <c r="J48" s="15"/>
    </row>
    <row r="49" spans="5:10" ht="12.75">
      <c r="E49" s="16"/>
      <c r="F49" s="15"/>
      <c r="G49" s="16"/>
      <c r="H49" s="15"/>
      <c r="I49" s="16"/>
      <c r="J49" s="15"/>
    </row>
    <row r="50" spans="5:10" ht="12.75">
      <c r="E50" s="16"/>
      <c r="F50" s="15"/>
      <c r="G50" s="16"/>
      <c r="H50" s="15"/>
      <c r="I50" s="16"/>
      <c r="J50" s="15"/>
    </row>
    <row r="51" spans="5:10" ht="12.75">
      <c r="E51" s="16"/>
      <c r="F51" s="15"/>
      <c r="G51" s="16"/>
      <c r="H51" s="15"/>
      <c r="I51" s="16"/>
      <c r="J51" s="15"/>
    </row>
    <row r="52" spans="5:10" ht="12.75">
      <c r="E52" s="16"/>
      <c r="F52" s="15"/>
      <c r="G52" s="16"/>
      <c r="H52" s="15"/>
      <c r="I52" s="16"/>
      <c r="J52" s="15"/>
    </row>
    <row r="53" spans="5:10" ht="12.75">
      <c r="E53" s="16"/>
      <c r="F53" s="15"/>
      <c r="G53" s="16"/>
      <c r="H53" s="15"/>
      <c r="I53" s="16"/>
      <c r="J53" s="15"/>
    </row>
    <row r="54" spans="5:10" ht="12.75">
      <c r="E54" s="16"/>
      <c r="F54" s="15"/>
      <c r="G54" s="16"/>
      <c r="H54" s="15"/>
      <c r="I54" s="16"/>
      <c r="J54" s="15"/>
    </row>
    <row r="55" spans="5:10" ht="12.75">
      <c r="E55" s="16"/>
      <c r="F55" s="15"/>
      <c r="G55" s="16"/>
      <c r="H55" s="15"/>
      <c r="I55" s="16"/>
      <c r="J55" s="15"/>
    </row>
    <row r="56" spans="5:10" ht="12.75">
      <c r="E56" s="16"/>
      <c r="F56" s="15"/>
      <c r="G56" s="16"/>
      <c r="H56" s="15"/>
      <c r="I56" s="16"/>
      <c r="J56" s="15"/>
    </row>
    <row r="57" spans="5:10" ht="12.75">
      <c r="E57" s="16"/>
      <c r="F57" s="15"/>
      <c r="G57" s="16"/>
      <c r="H57" s="15"/>
      <c r="I57" s="16"/>
      <c r="J57" s="15"/>
    </row>
    <row r="58" spans="5:10" ht="12.75">
      <c r="E58" s="16"/>
      <c r="F58" s="15"/>
      <c r="G58" s="16"/>
      <c r="H58" s="15"/>
      <c r="I58" s="16"/>
      <c r="J58" s="15"/>
    </row>
    <row r="59" spans="5:10" ht="12.75">
      <c r="E59" s="16"/>
      <c r="F59" s="15"/>
      <c r="G59" s="16"/>
      <c r="H59" s="15"/>
      <c r="I59" s="16"/>
      <c r="J59" s="15"/>
    </row>
    <row r="60" spans="5:10" ht="12.75">
      <c r="E60" s="16"/>
      <c r="F60" s="14"/>
      <c r="G60" s="16"/>
      <c r="H60" s="14"/>
      <c r="I60" s="16"/>
      <c r="J60" s="14"/>
    </row>
    <row r="61" spans="5:10" ht="12.75">
      <c r="E61" s="16"/>
      <c r="F61" s="14"/>
      <c r="G61" s="16"/>
      <c r="H61" s="14"/>
      <c r="I61" s="16"/>
      <c r="J61" s="14"/>
    </row>
  </sheetData>
  <sheetProtection/>
  <mergeCells count="1">
    <mergeCell ref="F2:G2"/>
  </mergeCells>
  <printOptions/>
  <pageMargins left="0.25" right="0" top="1" bottom="0" header="0.5" footer="0"/>
  <pageSetup horizontalDpi="300" verticalDpi="300" orientation="landscape" r:id="rId1"/>
  <headerFooter alignWithMargins="0">
    <oddHeader>&amp;RPage &amp;P of 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25"/>
  <sheetViews>
    <sheetView zoomScalePageLayoutView="0" workbookViewId="0" topLeftCell="A1">
      <pane ySplit="6" topLeftCell="A29" activePane="bottomLeft" state="frozen"/>
      <selection pane="topLeft" activeCell="A1" sqref="A1"/>
      <selection pane="bottomLeft" activeCell="E46" sqref="E46"/>
    </sheetView>
  </sheetViews>
  <sheetFormatPr defaultColWidth="9.140625" defaultRowHeight="12.75"/>
  <cols>
    <col min="1" max="1" width="9.57421875" style="0" bestFit="1" customWidth="1"/>
    <col min="2" max="2" width="44.7109375" style="0" bestFit="1" customWidth="1"/>
    <col min="3" max="3" width="10.28125" style="0" customWidth="1"/>
    <col min="5" max="5" width="7.28125" style="17" customWidth="1"/>
    <col min="6" max="6" width="10.28125" style="0" customWidth="1"/>
    <col min="7" max="7" width="7.00390625" style="17" customWidth="1"/>
    <col min="8" max="8" width="14.00390625" style="0" bestFit="1" customWidth="1"/>
    <col min="9" max="9" width="7.00390625" style="17" customWidth="1"/>
    <col min="10" max="10" width="10.28125" style="0" customWidth="1"/>
  </cols>
  <sheetData>
    <row r="1" spans="1:8" s="45" customFormat="1" ht="12.75">
      <c r="A1" s="166" t="s">
        <v>446</v>
      </c>
      <c r="B1" s="195">
        <f>Spread!B1</f>
        <v>0</v>
      </c>
      <c r="C1" s="165" t="s">
        <v>370</v>
      </c>
      <c r="D1" s="196" t="e">
        <f>Spread!#REF!</f>
        <v>#REF!</v>
      </c>
      <c r="E1"/>
      <c r="F1" s="165" t="s">
        <v>371</v>
      </c>
      <c r="G1" s="51"/>
      <c r="H1" s="170" t="e">
        <f>Spread!#REF!</f>
        <v>#REF!</v>
      </c>
    </row>
    <row r="2" spans="1:8" s="45" customFormat="1" ht="12.75">
      <c r="A2" s="166"/>
      <c r="B2" s="195" t="e">
        <f>Spread!#REF!</f>
        <v>#REF!</v>
      </c>
      <c r="C2" s="51"/>
      <c r="D2" s="51"/>
      <c r="E2"/>
      <c r="F2" s="476" t="s">
        <v>447</v>
      </c>
      <c r="G2" s="476"/>
      <c r="H2" s="197" t="e">
        <f>Spread!#REF!</f>
        <v>#REF!</v>
      </c>
    </row>
    <row r="3" spans="1:9" s="45" customFormat="1" ht="12.75" customHeight="1">
      <c r="A3" s="168"/>
      <c r="B3" s="195">
        <f>Spread!B3</f>
        <v>0</v>
      </c>
      <c r="C3" s="165" t="s">
        <v>445</v>
      </c>
      <c r="D3" s="51" t="e">
        <f>Spread!#REF!</f>
        <v>#REF!</v>
      </c>
      <c r="E3" s="51"/>
      <c r="F3" s="51"/>
      <c r="G3" s="51"/>
      <c r="H3" s="51"/>
      <c r="I3" s="118"/>
    </row>
    <row r="4" s="45" customFormat="1" ht="12" customHeight="1">
      <c r="B4" s="119"/>
    </row>
    <row r="5" spans="1:10" ht="12.75" customHeight="1">
      <c r="A5" s="1" t="s">
        <v>7</v>
      </c>
      <c r="B5" s="1" t="s">
        <v>0</v>
      </c>
      <c r="C5" s="1" t="s">
        <v>8</v>
      </c>
      <c r="D5" s="1" t="s">
        <v>9</v>
      </c>
      <c r="E5" s="18" t="s">
        <v>2</v>
      </c>
      <c r="F5" s="2"/>
      <c r="G5" s="18" t="s">
        <v>1</v>
      </c>
      <c r="H5" s="2"/>
      <c r="I5" s="18" t="s">
        <v>10</v>
      </c>
      <c r="J5" s="2"/>
    </row>
    <row r="6" spans="1:10" ht="12.75" customHeight="1" thickBot="1">
      <c r="A6" s="3"/>
      <c r="B6" s="3"/>
      <c r="C6" s="3"/>
      <c r="D6" s="3"/>
      <c r="E6" s="19" t="s">
        <v>11</v>
      </c>
      <c r="F6" s="3" t="s">
        <v>12</v>
      </c>
      <c r="G6" s="19" t="s">
        <v>11</v>
      </c>
      <c r="H6" s="3" t="s">
        <v>12</v>
      </c>
      <c r="I6" s="19" t="s">
        <v>13</v>
      </c>
      <c r="J6" s="3" t="s">
        <v>12</v>
      </c>
    </row>
    <row r="7" spans="1:10" ht="21" customHeight="1" thickTop="1">
      <c r="A7" s="5"/>
      <c r="B7" s="20" t="s">
        <v>33</v>
      </c>
      <c r="C7" s="38"/>
      <c r="D7" s="5"/>
      <c r="E7" s="8"/>
      <c r="F7" s="11"/>
      <c r="G7" s="8"/>
      <c r="H7" s="11"/>
      <c r="I7" s="8"/>
      <c r="J7" s="11"/>
    </row>
    <row r="8" spans="1:12" ht="21" customHeight="1">
      <c r="A8" s="5"/>
      <c r="B8" s="263" t="s">
        <v>113</v>
      </c>
      <c r="C8" s="40"/>
      <c r="D8" s="5" t="s">
        <v>16</v>
      </c>
      <c r="E8" s="46"/>
      <c r="F8" s="11" t="s">
        <v>382</v>
      </c>
      <c r="G8" s="264">
        <v>1</v>
      </c>
      <c r="H8" s="11">
        <f aca="true" t="shared" si="0" ref="H8:H39">C8*G8</f>
        <v>0</v>
      </c>
      <c r="I8" s="8"/>
      <c r="J8" s="11">
        <f aca="true" t="shared" si="1" ref="J8:J37">C8*I8</f>
        <v>0</v>
      </c>
      <c r="L8" s="45"/>
    </row>
    <row r="9" spans="1:12" ht="21" customHeight="1">
      <c r="A9" s="5"/>
      <c r="B9" s="263" t="s">
        <v>204</v>
      </c>
      <c r="C9" s="40"/>
      <c r="D9" s="5" t="s">
        <v>16</v>
      </c>
      <c r="E9" s="46"/>
      <c r="F9" s="11" t="s">
        <v>382</v>
      </c>
      <c r="G9" s="264">
        <v>0.4</v>
      </c>
      <c r="H9" s="11">
        <f t="shared" si="0"/>
        <v>0</v>
      </c>
      <c r="I9" s="8"/>
      <c r="J9" s="11">
        <f t="shared" si="1"/>
        <v>0</v>
      </c>
      <c r="L9" s="45"/>
    </row>
    <row r="10" spans="1:10" ht="21" customHeight="1">
      <c r="A10" s="5"/>
      <c r="B10" s="263" t="s">
        <v>205</v>
      </c>
      <c r="C10" s="40"/>
      <c r="D10" s="5" t="s">
        <v>16</v>
      </c>
      <c r="E10" s="46"/>
      <c r="F10" s="11" t="s">
        <v>382</v>
      </c>
      <c r="G10" s="264">
        <v>0.4</v>
      </c>
      <c r="H10" s="11">
        <f t="shared" si="0"/>
        <v>0</v>
      </c>
      <c r="I10" s="8"/>
      <c r="J10" s="11">
        <f t="shared" si="1"/>
        <v>0</v>
      </c>
    </row>
    <row r="11" spans="1:10" ht="21" customHeight="1">
      <c r="A11" s="5"/>
      <c r="B11" s="263" t="s">
        <v>190</v>
      </c>
      <c r="C11" s="40"/>
      <c r="D11" s="5" t="s">
        <v>16</v>
      </c>
      <c r="E11" s="46"/>
      <c r="F11" s="11" t="s">
        <v>382</v>
      </c>
      <c r="G11" s="264">
        <v>0.5</v>
      </c>
      <c r="H11" s="11">
        <f t="shared" si="0"/>
        <v>0</v>
      </c>
      <c r="I11" s="8"/>
      <c r="J11" s="11">
        <f t="shared" si="1"/>
        <v>0</v>
      </c>
    </row>
    <row r="12" spans="1:10" ht="21" customHeight="1">
      <c r="A12" s="5"/>
      <c r="B12" s="263" t="s">
        <v>191</v>
      </c>
      <c r="C12" s="40"/>
      <c r="D12" s="5" t="s">
        <v>16</v>
      </c>
      <c r="E12" s="46"/>
      <c r="F12" s="11" t="s">
        <v>382</v>
      </c>
      <c r="G12" s="264">
        <v>0.65</v>
      </c>
      <c r="H12" s="11">
        <f t="shared" si="0"/>
        <v>0</v>
      </c>
      <c r="I12" s="8"/>
      <c r="J12" s="11">
        <f t="shared" si="1"/>
        <v>0</v>
      </c>
    </row>
    <row r="13" spans="1:10" ht="21" customHeight="1">
      <c r="A13" s="5"/>
      <c r="B13" s="263" t="s">
        <v>206</v>
      </c>
      <c r="C13" s="40"/>
      <c r="D13" s="5" t="s">
        <v>16</v>
      </c>
      <c r="E13" s="46"/>
      <c r="F13" s="11" t="s">
        <v>382</v>
      </c>
      <c r="G13" s="264">
        <v>0.6</v>
      </c>
      <c r="H13" s="11">
        <f t="shared" si="0"/>
        <v>0</v>
      </c>
      <c r="I13" s="8"/>
      <c r="J13" s="11">
        <f t="shared" si="1"/>
        <v>0</v>
      </c>
    </row>
    <row r="14" spans="1:10" ht="21" customHeight="1">
      <c r="A14" s="5"/>
      <c r="B14" s="263" t="s">
        <v>110</v>
      </c>
      <c r="C14" s="40">
        <v>1070</v>
      </c>
      <c r="D14" s="5" t="s">
        <v>16</v>
      </c>
      <c r="E14" s="46"/>
      <c r="F14" s="11" t="s">
        <v>382</v>
      </c>
      <c r="G14" s="264">
        <v>0.7</v>
      </c>
      <c r="H14" s="11">
        <f t="shared" si="0"/>
        <v>749</v>
      </c>
      <c r="I14" s="8"/>
      <c r="J14" s="11">
        <f t="shared" si="1"/>
        <v>0</v>
      </c>
    </row>
    <row r="15" spans="1:10" ht="21" customHeight="1">
      <c r="A15" s="5"/>
      <c r="B15" s="263" t="s">
        <v>111</v>
      </c>
      <c r="C15" s="40">
        <v>1070</v>
      </c>
      <c r="D15" s="5" t="s">
        <v>16</v>
      </c>
      <c r="E15" s="46"/>
      <c r="F15" s="11" t="s">
        <v>382</v>
      </c>
      <c r="G15" s="264">
        <v>1.1</v>
      </c>
      <c r="H15" s="11">
        <f t="shared" si="0"/>
        <v>1177</v>
      </c>
      <c r="I15" s="8"/>
      <c r="J15" s="11">
        <f t="shared" si="1"/>
        <v>0</v>
      </c>
    </row>
    <row r="16" spans="1:10" ht="21" customHeight="1">
      <c r="A16" s="5"/>
      <c r="B16" s="263" t="s">
        <v>112</v>
      </c>
      <c r="C16" s="40">
        <v>8000</v>
      </c>
      <c r="D16" s="5" t="s">
        <v>16</v>
      </c>
      <c r="E16" s="46"/>
      <c r="F16" s="11" t="s">
        <v>382</v>
      </c>
      <c r="G16" s="264">
        <v>0.8</v>
      </c>
      <c r="H16" s="11">
        <f t="shared" si="0"/>
        <v>6400</v>
      </c>
      <c r="I16" s="8"/>
      <c r="J16" s="11">
        <f t="shared" si="1"/>
        <v>0</v>
      </c>
    </row>
    <row r="17" spans="1:10" ht="21" customHeight="1">
      <c r="A17" s="5"/>
      <c r="B17" s="265" t="s">
        <v>315</v>
      </c>
      <c r="C17" s="40"/>
      <c r="D17" s="5" t="s">
        <v>16</v>
      </c>
      <c r="E17" s="46"/>
      <c r="F17" s="11" t="s">
        <v>382</v>
      </c>
      <c r="G17" s="264">
        <v>1</v>
      </c>
      <c r="H17" s="11">
        <f t="shared" si="0"/>
        <v>0</v>
      </c>
      <c r="I17" s="8"/>
      <c r="J17" s="11">
        <f t="shared" si="1"/>
        <v>0</v>
      </c>
    </row>
    <row r="18" spans="1:10" ht="21" customHeight="1">
      <c r="A18" s="5"/>
      <c r="B18" s="265" t="s">
        <v>316</v>
      </c>
      <c r="C18" s="40"/>
      <c r="D18" s="5" t="s">
        <v>16</v>
      </c>
      <c r="E18" s="46"/>
      <c r="F18" s="11" t="s">
        <v>382</v>
      </c>
      <c r="G18" s="264">
        <v>1.5</v>
      </c>
      <c r="H18" s="11">
        <f t="shared" si="0"/>
        <v>0</v>
      </c>
      <c r="I18" s="8"/>
      <c r="J18" s="11">
        <f t="shared" si="1"/>
        <v>0</v>
      </c>
    </row>
    <row r="19" spans="1:10" ht="21" customHeight="1">
      <c r="A19" s="5"/>
      <c r="B19" s="266" t="s">
        <v>609</v>
      </c>
      <c r="C19" s="40"/>
      <c r="D19" s="5" t="s">
        <v>16</v>
      </c>
      <c r="E19" s="46"/>
      <c r="F19" s="11" t="s">
        <v>382</v>
      </c>
      <c r="G19" s="264">
        <v>0.65</v>
      </c>
      <c r="H19" s="11">
        <f t="shared" si="0"/>
        <v>0</v>
      </c>
      <c r="I19" s="8"/>
      <c r="J19" s="11">
        <f>C19*I19</f>
        <v>0</v>
      </c>
    </row>
    <row r="20" spans="1:10" ht="21" customHeight="1">
      <c r="A20" s="5"/>
      <c r="B20" s="266" t="s">
        <v>610</v>
      </c>
      <c r="C20" s="40"/>
      <c r="D20" s="5" t="s">
        <v>16</v>
      </c>
      <c r="E20" s="46"/>
      <c r="F20" s="11" t="s">
        <v>382</v>
      </c>
      <c r="G20" s="264">
        <v>0.75</v>
      </c>
      <c r="H20" s="11">
        <f t="shared" si="0"/>
        <v>0</v>
      </c>
      <c r="I20" s="8"/>
      <c r="J20" s="11">
        <f>C20*I20</f>
        <v>0</v>
      </c>
    </row>
    <row r="21" spans="1:10" ht="21" customHeight="1">
      <c r="A21" s="5"/>
      <c r="B21" s="266" t="s">
        <v>611</v>
      </c>
      <c r="C21" s="40"/>
      <c r="D21" s="5" t="s">
        <v>16</v>
      </c>
      <c r="E21" s="46"/>
      <c r="F21" s="11" t="s">
        <v>382</v>
      </c>
      <c r="G21" s="264">
        <v>0.5</v>
      </c>
      <c r="H21" s="11">
        <f t="shared" si="0"/>
        <v>0</v>
      </c>
      <c r="I21" s="8"/>
      <c r="J21" s="11">
        <f>C21*I21</f>
        <v>0</v>
      </c>
    </row>
    <row r="22" spans="1:10" ht="21" customHeight="1">
      <c r="A22" s="5"/>
      <c r="B22" s="266" t="s">
        <v>612</v>
      </c>
      <c r="C22" s="40"/>
      <c r="D22" s="5" t="s">
        <v>16</v>
      </c>
      <c r="E22" s="46"/>
      <c r="F22" s="11" t="s">
        <v>382</v>
      </c>
      <c r="G22" s="264">
        <v>0.6</v>
      </c>
      <c r="H22" s="11">
        <f t="shared" si="0"/>
        <v>0</v>
      </c>
      <c r="I22" s="8"/>
      <c r="J22" s="11">
        <f>C22*I22</f>
        <v>0</v>
      </c>
    </row>
    <row r="23" spans="1:10" ht="21" customHeight="1">
      <c r="A23" s="5"/>
      <c r="B23" s="267" t="s">
        <v>94</v>
      </c>
      <c r="C23" s="40">
        <v>34000</v>
      </c>
      <c r="D23" s="5" t="s">
        <v>14</v>
      </c>
      <c r="E23" s="46"/>
      <c r="F23" s="11" t="s">
        <v>382</v>
      </c>
      <c r="G23" s="264">
        <v>0.7</v>
      </c>
      <c r="H23" s="11">
        <f t="shared" si="0"/>
        <v>23800</v>
      </c>
      <c r="I23" s="8"/>
      <c r="J23" s="11">
        <f t="shared" si="1"/>
        <v>0</v>
      </c>
    </row>
    <row r="24" spans="1:10" ht="21" customHeight="1">
      <c r="A24" s="38"/>
      <c r="B24" s="268" t="s">
        <v>189</v>
      </c>
      <c r="C24" s="40">
        <v>16000</v>
      </c>
      <c r="D24" s="38" t="s">
        <v>14</v>
      </c>
      <c r="E24" s="46"/>
      <c r="F24" s="11" t="s">
        <v>382</v>
      </c>
      <c r="G24" s="264">
        <v>0.5</v>
      </c>
      <c r="H24" s="11">
        <f t="shared" si="0"/>
        <v>8000</v>
      </c>
      <c r="I24" s="8"/>
      <c r="J24" s="11">
        <f t="shared" si="1"/>
        <v>0</v>
      </c>
    </row>
    <row r="25" spans="1:10" ht="21" customHeight="1">
      <c r="A25" s="38"/>
      <c r="B25" s="269" t="s">
        <v>313</v>
      </c>
      <c r="C25" s="40"/>
      <c r="D25" s="38" t="s">
        <v>14</v>
      </c>
      <c r="E25" s="46"/>
      <c r="F25" s="11" t="s">
        <v>382</v>
      </c>
      <c r="G25" s="264">
        <v>0.65</v>
      </c>
      <c r="H25" s="11">
        <f t="shared" si="0"/>
        <v>0</v>
      </c>
      <c r="I25" s="8"/>
      <c r="J25" s="11">
        <f t="shared" si="1"/>
        <v>0</v>
      </c>
    </row>
    <row r="26" spans="1:10" ht="21" customHeight="1">
      <c r="A26" s="38"/>
      <c r="B26" s="270" t="s">
        <v>328</v>
      </c>
      <c r="C26" s="40">
        <v>34000</v>
      </c>
      <c r="D26" s="38" t="s">
        <v>14</v>
      </c>
      <c r="E26" s="46"/>
      <c r="F26" s="11" t="s">
        <v>382</v>
      </c>
      <c r="G26" s="264">
        <v>0.5</v>
      </c>
      <c r="H26" s="11">
        <f t="shared" si="0"/>
        <v>17000</v>
      </c>
      <c r="I26" s="8"/>
      <c r="J26" s="11">
        <f>C26*I26</f>
        <v>0</v>
      </c>
    </row>
    <row r="27" spans="1:10" ht="21" customHeight="1">
      <c r="A27" s="38"/>
      <c r="B27" s="270" t="s">
        <v>329</v>
      </c>
      <c r="C27" s="40"/>
      <c r="D27" s="38" t="s">
        <v>14</v>
      </c>
      <c r="E27" s="46"/>
      <c r="F27" s="11" t="s">
        <v>382</v>
      </c>
      <c r="G27" s="264">
        <v>0.45</v>
      </c>
      <c r="H27" s="11">
        <f t="shared" si="0"/>
        <v>0</v>
      </c>
      <c r="I27" s="8"/>
      <c r="J27" s="11">
        <f>C27*I27</f>
        <v>0</v>
      </c>
    </row>
    <row r="28" spans="1:10" ht="21" customHeight="1">
      <c r="A28" s="5"/>
      <c r="B28" s="32" t="s">
        <v>238</v>
      </c>
      <c r="C28" s="40"/>
      <c r="D28" s="5" t="s">
        <v>14</v>
      </c>
      <c r="E28" s="46"/>
      <c r="F28" s="11" t="s">
        <v>382</v>
      </c>
      <c r="G28" s="264">
        <v>0.5</v>
      </c>
      <c r="H28" s="11">
        <f t="shared" si="0"/>
        <v>0</v>
      </c>
      <c r="I28" s="8"/>
      <c r="J28" s="11">
        <f t="shared" si="1"/>
        <v>0</v>
      </c>
    </row>
    <row r="29" spans="1:10" ht="21" customHeight="1">
      <c r="A29" s="5"/>
      <c r="B29" s="268" t="s">
        <v>311</v>
      </c>
      <c r="C29" s="40"/>
      <c r="D29" s="5" t="s">
        <v>14</v>
      </c>
      <c r="E29" s="46"/>
      <c r="F29" s="11" t="s">
        <v>382</v>
      </c>
      <c r="G29" s="264">
        <v>0.49</v>
      </c>
      <c r="H29" s="11">
        <f t="shared" si="0"/>
        <v>0</v>
      </c>
      <c r="I29" s="8"/>
      <c r="J29" s="11">
        <f t="shared" si="1"/>
        <v>0</v>
      </c>
    </row>
    <row r="30" spans="1:10" ht="21" customHeight="1">
      <c r="A30" s="5"/>
      <c r="B30" s="271" t="s">
        <v>312</v>
      </c>
      <c r="C30" s="40">
        <v>3000</v>
      </c>
      <c r="D30" s="5" t="s">
        <v>14</v>
      </c>
      <c r="E30" s="46"/>
      <c r="F30" s="11" t="s">
        <v>382</v>
      </c>
      <c r="G30" s="264">
        <v>1</v>
      </c>
      <c r="H30" s="11">
        <f t="shared" si="0"/>
        <v>3000</v>
      </c>
      <c r="I30" s="8"/>
      <c r="J30" s="11">
        <f t="shared" si="1"/>
        <v>0</v>
      </c>
    </row>
    <row r="31" spans="1:10" ht="21" customHeight="1">
      <c r="A31" s="5"/>
      <c r="B31" s="265" t="s">
        <v>314</v>
      </c>
      <c r="C31" s="40"/>
      <c r="D31" s="5" t="s">
        <v>14</v>
      </c>
      <c r="E31" s="46"/>
      <c r="F31" s="11" t="s">
        <v>382</v>
      </c>
      <c r="G31" s="264">
        <v>1</v>
      </c>
      <c r="H31" s="11">
        <f t="shared" si="0"/>
        <v>0</v>
      </c>
      <c r="I31" s="8"/>
      <c r="J31" s="11">
        <f t="shared" si="1"/>
        <v>0</v>
      </c>
    </row>
    <row r="32" spans="1:10" ht="21" customHeight="1">
      <c r="A32" s="5"/>
      <c r="B32" s="5" t="s">
        <v>34</v>
      </c>
      <c r="C32" s="40">
        <v>16000</v>
      </c>
      <c r="D32" s="5" t="s">
        <v>14</v>
      </c>
      <c r="E32" s="46"/>
      <c r="F32" s="11">
        <f aca="true" t="shared" si="2" ref="F32:F47">C32*E32</f>
        <v>0</v>
      </c>
      <c r="G32" s="8"/>
      <c r="H32" s="11">
        <f t="shared" si="0"/>
        <v>0</v>
      </c>
      <c r="I32" s="8">
        <v>0.6</v>
      </c>
      <c r="J32" s="11">
        <f t="shared" si="1"/>
        <v>9600</v>
      </c>
    </row>
    <row r="33" spans="1:10" ht="21" customHeight="1">
      <c r="A33" s="5"/>
      <c r="B33" s="5" t="s">
        <v>53</v>
      </c>
      <c r="C33" s="40">
        <v>34000</v>
      </c>
      <c r="D33" s="5" t="s">
        <v>14</v>
      </c>
      <c r="E33" s="46"/>
      <c r="F33" s="11">
        <f t="shared" si="2"/>
        <v>0</v>
      </c>
      <c r="G33" s="8"/>
      <c r="H33" s="11">
        <f t="shared" si="0"/>
        <v>0</v>
      </c>
      <c r="I33" s="8">
        <v>0.9</v>
      </c>
      <c r="J33" s="11">
        <f t="shared" si="1"/>
        <v>30600</v>
      </c>
    </row>
    <row r="34" spans="1:10" ht="21" customHeight="1">
      <c r="A34" s="5"/>
      <c r="B34" s="5" t="s">
        <v>331</v>
      </c>
      <c r="C34" s="40"/>
      <c r="D34" s="5" t="s">
        <v>14</v>
      </c>
      <c r="E34" s="46"/>
      <c r="F34" s="11">
        <f t="shared" si="2"/>
        <v>0</v>
      </c>
      <c r="G34" s="8"/>
      <c r="H34" s="11">
        <f t="shared" si="0"/>
        <v>0</v>
      </c>
      <c r="I34" s="8">
        <v>0.25</v>
      </c>
      <c r="J34" s="11">
        <f t="shared" si="1"/>
        <v>0</v>
      </c>
    </row>
    <row r="35" spans="1:10" ht="21" customHeight="1">
      <c r="A35" s="5"/>
      <c r="B35" s="5" t="s">
        <v>235</v>
      </c>
      <c r="C35" s="40"/>
      <c r="D35" s="5" t="s">
        <v>16</v>
      </c>
      <c r="E35" s="46">
        <v>0.55</v>
      </c>
      <c r="F35" s="11">
        <f t="shared" si="2"/>
        <v>0</v>
      </c>
      <c r="G35" s="8">
        <v>0.25</v>
      </c>
      <c r="H35" s="11">
        <f t="shared" si="0"/>
        <v>0</v>
      </c>
      <c r="I35" s="8"/>
      <c r="J35" s="11">
        <f t="shared" si="1"/>
        <v>0</v>
      </c>
    </row>
    <row r="36" spans="1:10" ht="21" customHeight="1">
      <c r="A36" s="5"/>
      <c r="B36" s="5" t="s">
        <v>117</v>
      </c>
      <c r="C36" s="40"/>
      <c r="D36" s="5" t="s">
        <v>17</v>
      </c>
      <c r="E36" s="46"/>
      <c r="F36" s="11">
        <f t="shared" si="2"/>
        <v>0</v>
      </c>
      <c r="G36" s="47"/>
      <c r="H36" s="11">
        <f t="shared" si="0"/>
        <v>0</v>
      </c>
      <c r="I36" s="47"/>
      <c r="J36" s="11">
        <f t="shared" si="1"/>
        <v>0</v>
      </c>
    </row>
    <row r="37" spans="1:10" ht="21" customHeight="1">
      <c r="A37" s="5"/>
      <c r="B37" s="5" t="s">
        <v>42</v>
      </c>
      <c r="C37" s="40">
        <v>50000</v>
      </c>
      <c r="D37" s="5" t="s">
        <v>14</v>
      </c>
      <c r="E37" s="46">
        <v>0</v>
      </c>
      <c r="F37" s="11">
        <f t="shared" si="2"/>
        <v>0</v>
      </c>
      <c r="G37" s="46">
        <v>0.18</v>
      </c>
      <c r="H37" s="11">
        <f t="shared" si="0"/>
        <v>9000</v>
      </c>
      <c r="I37" s="8"/>
      <c r="J37" s="11">
        <f t="shared" si="1"/>
        <v>0</v>
      </c>
    </row>
    <row r="38" spans="1:12" ht="21" customHeight="1">
      <c r="A38" s="5"/>
      <c r="B38" s="5" t="s">
        <v>188</v>
      </c>
      <c r="C38" s="40">
        <v>7000</v>
      </c>
      <c r="D38" s="5" t="s">
        <v>14</v>
      </c>
      <c r="E38" s="46">
        <v>0.5</v>
      </c>
      <c r="F38" s="11">
        <f t="shared" si="2"/>
        <v>3500</v>
      </c>
      <c r="G38" s="272">
        <v>0.6</v>
      </c>
      <c r="H38" s="11">
        <f t="shared" si="0"/>
        <v>4200</v>
      </c>
      <c r="I38" s="8"/>
      <c r="J38" s="40" t="s">
        <v>47</v>
      </c>
      <c r="L38" s="45"/>
    </row>
    <row r="39" spans="1:12" ht="21" customHeight="1">
      <c r="A39" s="5"/>
      <c r="B39" s="5" t="s">
        <v>195</v>
      </c>
      <c r="C39" s="74"/>
      <c r="D39" s="5" t="s">
        <v>14</v>
      </c>
      <c r="E39" s="46"/>
      <c r="F39" s="11">
        <f t="shared" si="2"/>
        <v>0</v>
      </c>
      <c r="G39" s="8"/>
      <c r="H39" s="11">
        <f t="shared" si="0"/>
        <v>0</v>
      </c>
      <c r="I39" s="8"/>
      <c r="J39" s="40" t="s">
        <v>47</v>
      </c>
      <c r="L39" s="45"/>
    </row>
    <row r="40" spans="1:12" ht="21" customHeight="1">
      <c r="A40" s="5"/>
      <c r="B40" s="273" t="s">
        <v>121</v>
      </c>
      <c r="C40" s="74">
        <f>SUM(C8:C16)</f>
        <v>10140</v>
      </c>
      <c r="D40" s="5" t="s">
        <v>16</v>
      </c>
      <c r="E40" s="299">
        <v>1.6</v>
      </c>
      <c r="F40" s="11">
        <f t="shared" si="2"/>
        <v>16224</v>
      </c>
      <c r="G40" s="46"/>
      <c r="H40" s="11" t="s">
        <v>383</v>
      </c>
      <c r="I40" s="46"/>
      <c r="J40" s="40">
        <f aca="true" t="shared" si="3" ref="J40:J47">C40*I40</f>
        <v>0</v>
      </c>
      <c r="L40" s="45"/>
    </row>
    <row r="41" spans="1:12" ht="21" customHeight="1">
      <c r="A41" s="5"/>
      <c r="B41" s="274" t="s">
        <v>122</v>
      </c>
      <c r="C41" s="74">
        <f>SUM(C24+C29)</f>
        <v>16000</v>
      </c>
      <c r="D41" s="5" t="s">
        <v>14</v>
      </c>
      <c r="E41" s="299">
        <v>1.2</v>
      </c>
      <c r="F41" s="11">
        <f t="shared" si="2"/>
        <v>19200</v>
      </c>
      <c r="G41" s="46"/>
      <c r="H41" s="11" t="s">
        <v>383</v>
      </c>
      <c r="I41" s="46"/>
      <c r="J41" s="40">
        <f t="shared" si="3"/>
        <v>0</v>
      </c>
      <c r="L41" s="45"/>
    </row>
    <row r="42" spans="1:12" ht="21" customHeight="1">
      <c r="A42" s="5"/>
      <c r="B42" s="275" t="s">
        <v>613</v>
      </c>
      <c r="C42" s="74">
        <f>C25</f>
        <v>0</v>
      </c>
      <c r="D42" s="5" t="s">
        <v>14</v>
      </c>
      <c r="E42" s="299">
        <v>1.65</v>
      </c>
      <c r="F42" s="11">
        <f>C42*E42</f>
        <v>0</v>
      </c>
      <c r="G42" s="46"/>
      <c r="H42" s="11" t="s">
        <v>383</v>
      </c>
      <c r="I42" s="46"/>
      <c r="J42" s="40">
        <f>C42*I42</f>
        <v>0</v>
      </c>
      <c r="L42" s="45"/>
    </row>
    <row r="43" spans="1:12" ht="21" customHeight="1">
      <c r="A43" s="5"/>
      <c r="B43" s="276" t="s">
        <v>330</v>
      </c>
      <c r="C43" s="74">
        <f>+C30</f>
        <v>3000</v>
      </c>
      <c r="D43" s="5" t="s">
        <v>14</v>
      </c>
      <c r="E43" s="299">
        <v>2</v>
      </c>
      <c r="F43" s="11">
        <f t="shared" si="2"/>
        <v>6000</v>
      </c>
      <c r="G43" s="46"/>
      <c r="H43" s="11" t="s">
        <v>383</v>
      </c>
      <c r="I43" s="46"/>
      <c r="J43" s="40">
        <f>C43*I43</f>
        <v>0</v>
      </c>
      <c r="L43" s="45"/>
    </row>
    <row r="44" spans="1:12" ht="21" customHeight="1">
      <c r="A44" s="5"/>
      <c r="B44" s="277" t="s">
        <v>317</v>
      </c>
      <c r="C44" s="74">
        <f>+C31</f>
        <v>0</v>
      </c>
      <c r="D44" s="5" t="s">
        <v>14</v>
      </c>
      <c r="E44" s="299">
        <v>4.5</v>
      </c>
      <c r="F44" s="11">
        <f t="shared" si="2"/>
        <v>0</v>
      </c>
      <c r="G44" s="46"/>
      <c r="H44" s="11" t="s">
        <v>383</v>
      </c>
      <c r="I44" s="46"/>
      <c r="J44" s="40">
        <f t="shared" si="3"/>
        <v>0</v>
      </c>
      <c r="L44" s="45"/>
    </row>
    <row r="45" spans="1:12" ht="21" customHeight="1">
      <c r="A45" s="5"/>
      <c r="B45" s="278" t="s">
        <v>123</v>
      </c>
      <c r="C45" s="40">
        <f>SUM(C19:C22)</f>
        <v>0</v>
      </c>
      <c r="D45" s="5" t="s">
        <v>16</v>
      </c>
      <c r="E45" s="299">
        <v>3</v>
      </c>
      <c r="F45" s="11">
        <f t="shared" si="2"/>
        <v>0</v>
      </c>
      <c r="G45" s="46"/>
      <c r="H45" s="11" t="s">
        <v>383</v>
      </c>
      <c r="I45" s="46"/>
      <c r="J45" s="40">
        <f t="shared" si="3"/>
        <v>0</v>
      </c>
      <c r="L45" s="45"/>
    </row>
    <row r="46" spans="1:12" ht="21" customHeight="1">
      <c r="A46" s="5"/>
      <c r="B46" s="279" t="s">
        <v>124</v>
      </c>
      <c r="C46" s="74">
        <f>SUM(C26:C27)</f>
        <v>34000</v>
      </c>
      <c r="D46" s="5" t="s">
        <v>14</v>
      </c>
      <c r="E46" s="299">
        <v>1.75</v>
      </c>
      <c r="F46" s="11">
        <f t="shared" si="2"/>
        <v>59500</v>
      </c>
      <c r="G46" s="46"/>
      <c r="H46" s="11" t="s">
        <v>383</v>
      </c>
      <c r="I46" s="46"/>
      <c r="J46" s="40">
        <f t="shared" si="3"/>
        <v>0</v>
      </c>
      <c r="L46" s="45"/>
    </row>
    <row r="47" spans="1:10" ht="21" customHeight="1" thickBot="1">
      <c r="A47" s="5"/>
      <c r="B47" s="280" t="s">
        <v>125</v>
      </c>
      <c r="C47" s="40">
        <f>+C23</f>
        <v>34000</v>
      </c>
      <c r="D47" s="5" t="s">
        <v>14</v>
      </c>
      <c r="E47" s="299">
        <v>0.7</v>
      </c>
      <c r="F47" s="11">
        <f t="shared" si="2"/>
        <v>23800</v>
      </c>
      <c r="G47" s="46"/>
      <c r="H47" s="11" t="s">
        <v>383</v>
      </c>
      <c r="I47" s="46"/>
      <c r="J47" s="40">
        <f t="shared" si="3"/>
        <v>0</v>
      </c>
    </row>
    <row r="48" spans="1:10" ht="21" customHeight="1" thickTop="1">
      <c r="A48" s="5"/>
      <c r="B48" s="5"/>
      <c r="C48" s="42"/>
      <c r="D48" s="5"/>
      <c r="E48" s="56"/>
      <c r="F48" s="57">
        <f>SUM(F8:F47)</f>
        <v>128224</v>
      </c>
      <c r="G48" s="90"/>
      <c r="H48" s="57">
        <f>SUM(H8:H47)</f>
        <v>73326</v>
      </c>
      <c r="I48" s="56"/>
      <c r="J48" s="57">
        <f>SUM(J8:J47)</f>
        <v>40200</v>
      </c>
    </row>
    <row r="49" spans="1:10" ht="21" customHeight="1">
      <c r="A49" s="5"/>
      <c r="B49" s="237" t="s">
        <v>492</v>
      </c>
      <c r="C49" s="233">
        <f>SUM(F48,H48,J48)</f>
        <v>241750</v>
      </c>
      <c r="D49" s="5"/>
      <c r="E49" s="8"/>
      <c r="F49" s="11"/>
      <c r="G49" s="8"/>
      <c r="H49" s="11"/>
      <c r="I49" s="115" t="s">
        <v>183</v>
      </c>
      <c r="J49" s="11">
        <f>SUM(J32:J33)</f>
        <v>40200</v>
      </c>
    </row>
    <row r="50" spans="1:10" ht="21" customHeight="1">
      <c r="A50" s="5"/>
      <c r="B50" s="5"/>
      <c r="C50" s="38"/>
      <c r="D50" s="5"/>
      <c r="E50" s="281"/>
      <c r="F50" s="282"/>
      <c r="G50" s="281"/>
      <c r="H50" s="282"/>
      <c r="I50" s="116" t="s">
        <v>184</v>
      </c>
      <c r="J50" s="79">
        <f>J48-J49</f>
        <v>0</v>
      </c>
    </row>
    <row r="51" spans="1:10" ht="21" customHeight="1">
      <c r="A51" s="5"/>
      <c r="B51" s="65" t="s">
        <v>35</v>
      </c>
      <c r="C51" s="66"/>
      <c r="D51" s="66"/>
      <c r="E51" s="281"/>
      <c r="F51" s="282"/>
      <c r="G51" s="281"/>
      <c r="H51" s="282"/>
      <c r="I51" s="281"/>
      <c r="J51" s="282"/>
    </row>
    <row r="52" spans="1:13" ht="21" customHeight="1">
      <c r="A52" s="5"/>
      <c r="B52" s="67" t="s">
        <v>36</v>
      </c>
      <c r="C52" s="68">
        <f>C49</f>
        <v>241750</v>
      </c>
      <c r="D52" s="69"/>
      <c r="E52" s="8"/>
      <c r="F52" s="11"/>
      <c r="G52" s="8"/>
      <c r="H52" s="11"/>
      <c r="I52" s="8"/>
      <c r="J52" s="11"/>
      <c r="L52" s="45"/>
      <c r="M52" s="45"/>
    </row>
    <row r="53" spans="1:10" ht="21" customHeight="1" thickBot="1">
      <c r="A53" s="5"/>
      <c r="B53" s="71" t="s">
        <v>44</v>
      </c>
      <c r="C53" s="73">
        <f>SUM(C24:C30)</f>
        <v>53000</v>
      </c>
      <c r="D53" s="66"/>
      <c r="E53" s="8"/>
      <c r="F53" s="11"/>
      <c r="G53" s="8"/>
      <c r="H53" s="11"/>
      <c r="I53" s="8"/>
      <c r="J53" s="11"/>
    </row>
    <row r="54" spans="1:10" ht="12" customHeight="1" thickTop="1">
      <c r="A54" s="5"/>
      <c r="B54" s="67" t="s">
        <v>43</v>
      </c>
      <c r="C54" s="72">
        <f>C52/C53</f>
        <v>4.561320754716981</v>
      </c>
      <c r="D54" s="69"/>
      <c r="E54" s="8"/>
      <c r="F54" s="11"/>
      <c r="G54" s="8"/>
      <c r="H54" s="11"/>
      <c r="I54" s="8"/>
      <c r="J54" s="11"/>
    </row>
    <row r="55" spans="1:10" s="45" customFormat="1" ht="21" customHeight="1">
      <c r="A55" s="5"/>
      <c r="B55" s="67"/>
      <c r="C55" s="72"/>
      <c r="D55" s="69"/>
      <c r="E55" s="8"/>
      <c r="F55" s="11"/>
      <c r="G55" s="8"/>
      <c r="H55" s="11"/>
      <c r="I55" s="8"/>
      <c r="J55" s="11"/>
    </row>
    <row r="56" spans="1:10" s="45" customFormat="1" ht="21" customHeight="1">
      <c r="A56" s="38"/>
      <c r="B56" s="108" t="s">
        <v>170</v>
      </c>
      <c r="C56" s="52"/>
      <c r="D56" s="38"/>
      <c r="E56" s="46"/>
      <c r="F56" s="40"/>
      <c r="G56" s="46"/>
      <c r="H56" s="40"/>
      <c r="I56" s="46"/>
      <c r="J56" s="40"/>
    </row>
    <row r="57" spans="1:10" s="45" customFormat="1" ht="21" customHeight="1">
      <c r="A57" s="38"/>
      <c r="B57" s="283" t="s">
        <v>614</v>
      </c>
      <c r="C57" s="100"/>
      <c r="D57" s="38" t="s">
        <v>16</v>
      </c>
      <c r="E57" s="156"/>
      <c r="F57" s="40" t="s">
        <v>171</v>
      </c>
      <c r="G57" s="264">
        <v>1.62</v>
      </c>
      <c r="H57" s="78">
        <f aca="true" t="shared" si="4" ref="H57:H67">C57*G57</f>
        <v>0</v>
      </c>
      <c r="I57" s="46"/>
      <c r="J57" s="40">
        <f aca="true" t="shared" si="5" ref="J57:J70">C57*I57</f>
        <v>0</v>
      </c>
    </row>
    <row r="58" spans="1:10" s="45" customFormat="1" ht="21" customHeight="1">
      <c r="A58" s="38"/>
      <c r="B58" s="283" t="s">
        <v>615</v>
      </c>
      <c r="C58" s="100"/>
      <c r="D58" s="38" t="s">
        <v>16</v>
      </c>
      <c r="E58" s="156"/>
      <c r="F58" s="40" t="s">
        <v>171</v>
      </c>
      <c r="G58" s="264">
        <v>1.87</v>
      </c>
      <c r="H58" s="78">
        <f t="shared" si="4"/>
        <v>0</v>
      </c>
      <c r="I58" s="46"/>
      <c r="J58" s="40">
        <f t="shared" si="5"/>
        <v>0</v>
      </c>
    </row>
    <row r="59" spans="1:10" s="45" customFormat="1" ht="21" customHeight="1">
      <c r="A59" s="38"/>
      <c r="B59" s="283" t="s">
        <v>616</v>
      </c>
      <c r="C59" s="100"/>
      <c r="D59" s="38" t="s">
        <v>16</v>
      </c>
      <c r="E59" s="156"/>
      <c r="F59" s="40" t="s">
        <v>171</v>
      </c>
      <c r="G59" s="264">
        <v>2</v>
      </c>
      <c r="H59" s="78">
        <f t="shared" si="4"/>
        <v>0</v>
      </c>
      <c r="I59" s="46"/>
      <c r="J59" s="40">
        <f>C59*I59</f>
        <v>0</v>
      </c>
    </row>
    <row r="60" spans="1:10" s="45" customFormat="1" ht="21" customHeight="1">
      <c r="A60" s="38"/>
      <c r="B60" s="283" t="s">
        <v>617</v>
      </c>
      <c r="C60" s="100"/>
      <c r="D60" s="38" t="s">
        <v>16</v>
      </c>
      <c r="E60" s="156"/>
      <c r="F60" s="40" t="s">
        <v>171</v>
      </c>
      <c r="G60" s="264">
        <v>2.26</v>
      </c>
      <c r="H60" s="78">
        <f t="shared" si="4"/>
        <v>0</v>
      </c>
      <c r="I60" s="46"/>
      <c r="J60" s="40">
        <f>C60*I60</f>
        <v>0</v>
      </c>
    </row>
    <row r="61" spans="1:10" s="45" customFormat="1" ht="21" customHeight="1">
      <c r="A61" s="38"/>
      <c r="B61" s="283" t="s">
        <v>618</v>
      </c>
      <c r="C61" s="100"/>
      <c r="D61" s="38" t="s">
        <v>16</v>
      </c>
      <c r="E61" s="156"/>
      <c r="F61" s="40" t="s">
        <v>171</v>
      </c>
      <c r="G61" s="264">
        <v>1.18</v>
      </c>
      <c r="H61" s="78">
        <f>C61*G61</f>
        <v>0</v>
      </c>
      <c r="I61" s="46"/>
      <c r="J61" s="40">
        <f>C61*I61</f>
        <v>0</v>
      </c>
    </row>
    <row r="62" spans="1:10" s="45" customFormat="1" ht="21" customHeight="1">
      <c r="A62" s="38"/>
      <c r="B62" s="283" t="s">
        <v>619</v>
      </c>
      <c r="C62" s="100"/>
      <c r="D62" s="38" t="s">
        <v>16</v>
      </c>
      <c r="E62" s="156"/>
      <c r="F62" s="40" t="s">
        <v>171</v>
      </c>
      <c r="G62" s="264">
        <v>1.42</v>
      </c>
      <c r="H62" s="78">
        <f>C62*G62</f>
        <v>0</v>
      </c>
      <c r="I62" s="46"/>
      <c r="J62" s="40">
        <f>C62*I62</f>
        <v>0</v>
      </c>
    </row>
    <row r="63" spans="1:10" s="45" customFormat="1" ht="21" customHeight="1">
      <c r="A63" s="38"/>
      <c r="B63" s="284" t="s">
        <v>173</v>
      </c>
      <c r="C63" s="100"/>
      <c r="D63" s="38" t="s">
        <v>16</v>
      </c>
      <c r="E63" s="156"/>
      <c r="F63" s="40" t="s">
        <v>171</v>
      </c>
      <c r="G63" s="264">
        <v>0.65</v>
      </c>
      <c r="H63" s="78">
        <f t="shared" si="4"/>
        <v>0</v>
      </c>
      <c r="I63" s="46"/>
      <c r="J63" s="40">
        <f t="shared" si="5"/>
        <v>0</v>
      </c>
    </row>
    <row r="64" spans="1:10" s="45" customFormat="1" ht="21" customHeight="1">
      <c r="A64" s="38"/>
      <c r="B64" s="38" t="s">
        <v>172</v>
      </c>
      <c r="C64" s="100"/>
      <c r="D64" s="38" t="s">
        <v>14</v>
      </c>
      <c r="E64" s="156"/>
      <c r="F64" s="40" t="s">
        <v>171</v>
      </c>
      <c r="G64" s="264">
        <v>0.2</v>
      </c>
      <c r="H64" s="78">
        <f t="shared" si="4"/>
        <v>0</v>
      </c>
      <c r="I64" s="46"/>
      <c r="J64" s="40">
        <f>C64*I64</f>
        <v>0</v>
      </c>
    </row>
    <row r="65" spans="1:10" s="45" customFormat="1" ht="21" customHeight="1">
      <c r="A65" s="38"/>
      <c r="B65" s="285" t="s">
        <v>174</v>
      </c>
      <c r="C65" s="100"/>
      <c r="D65" s="38" t="s">
        <v>15</v>
      </c>
      <c r="E65" s="156"/>
      <c r="F65" s="40" t="s">
        <v>171</v>
      </c>
      <c r="G65" s="156">
        <v>1</v>
      </c>
      <c r="H65" s="78">
        <f t="shared" si="4"/>
        <v>0</v>
      </c>
      <c r="I65" s="46"/>
      <c r="J65" s="40">
        <f t="shared" si="5"/>
        <v>0</v>
      </c>
    </row>
    <row r="66" spans="1:10" s="45" customFormat="1" ht="21" customHeight="1">
      <c r="A66" s="38"/>
      <c r="B66" s="285" t="s">
        <v>182</v>
      </c>
      <c r="C66" s="100"/>
      <c r="D66" s="38" t="s">
        <v>15</v>
      </c>
      <c r="E66" s="156"/>
      <c r="F66" s="40" t="s">
        <v>171</v>
      </c>
      <c r="G66" s="156">
        <v>3</v>
      </c>
      <c r="H66" s="78">
        <f t="shared" si="4"/>
        <v>0</v>
      </c>
      <c r="I66" s="46"/>
      <c r="J66" s="40">
        <f t="shared" si="5"/>
        <v>0</v>
      </c>
    </row>
    <row r="67" spans="1:10" s="45" customFormat="1" ht="21" customHeight="1">
      <c r="A67" s="38"/>
      <c r="B67" s="286" t="s">
        <v>185</v>
      </c>
      <c r="C67" s="100"/>
      <c r="D67" s="38" t="s">
        <v>14</v>
      </c>
      <c r="E67" s="156"/>
      <c r="F67" s="40" t="s">
        <v>171</v>
      </c>
      <c r="G67" s="264">
        <v>0.67</v>
      </c>
      <c r="H67" s="78">
        <f t="shared" si="4"/>
        <v>0</v>
      </c>
      <c r="I67" s="46"/>
      <c r="J67" s="40">
        <f t="shared" si="5"/>
        <v>0</v>
      </c>
    </row>
    <row r="68" spans="1:10" s="45" customFormat="1" ht="21" customHeight="1">
      <c r="A68" s="38"/>
      <c r="B68" s="38" t="s">
        <v>175</v>
      </c>
      <c r="C68" s="100"/>
      <c r="D68" s="38" t="s">
        <v>14</v>
      </c>
      <c r="E68" s="46">
        <v>0.45</v>
      </c>
      <c r="F68" s="40">
        <f aca="true" t="shared" si="6" ref="F68:F73">C68*E68</f>
        <v>0</v>
      </c>
      <c r="G68" s="287">
        <v>0.47</v>
      </c>
      <c r="H68" s="78">
        <f>C68*G68</f>
        <v>0</v>
      </c>
      <c r="I68" s="46"/>
      <c r="J68" s="40" t="s">
        <v>47</v>
      </c>
    </row>
    <row r="69" spans="1:10" s="45" customFormat="1" ht="21" customHeight="1">
      <c r="A69" s="38"/>
      <c r="B69" s="89" t="s">
        <v>239</v>
      </c>
      <c r="C69" s="100"/>
      <c r="D69" s="38" t="s">
        <v>17</v>
      </c>
      <c r="E69" s="46"/>
      <c r="F69" s="40">
        <f t="shared" si="6"/>
        <v>0</v>
      </c>
      <c r="G69" s="46"/>
      <c r="H69" s="78">
        <f>C69*G69</f>
        <v>0</v>
      </c>
      <c r="I69" s="164">
        <v>1500</v>
      </c>
      <c r="J69" s="40">
        <f>C69*I69</f>
        <v>0</v>
      </c>
    </row>
    <row r="70" spans="1:10" s="45" customFormat="1" ht="21" customHeight="1">
      <c r="A70" s="38"/>
      <c r="B70" s="59" t="s">
        <v>207</v>
      </c>
      <c r="C70" s="38"/>
      <c r="D70" s="38" t="s">
        <v>14</v>
      </c>
      <c r="E70" s="46">
        <v>0.15</v>
      </c>
      <c r="F70" s="40">
        <f t="shared" si="6"/>
        <v>0</v>
      </c>
      <c r="G70" s="46">
        <v>0.3</v>
      </c>
      <c r="H70" s="78">
        <f>C70*G70</f>
        <v>0</v>
      </c>
      <c r="I70" s="46"/>
      <c r="J70" s="40">
        <f t="shared" si="5"/>
        <v>0</v>
      </c>
    </row>
    <row r="71" spans="1:10" s="45" customFormat="1" ht="21" customHeight="1">
      <c r="A71" s="38"/>
      <c r="B71" s="288" t="s">
        <v>332</v>
      </c>
      <c r="C71" s="38">
        <f>SUM(C65:C66)</f>
        <v>0</v>
      </c>
      <c r="D71" s="38" t="s">
        <v>14</v>
      </c>
      <c r="E71" s="46">
        <v>4</v>
      </c>
      <c r="F71" s="40">
        <f t="shared" si="6"/>
        <v>0</v>
      </c>
      <c r="G71" s="46"/>
      <c r="H71" s="78">
        <f>C71*G71</f>
        <v>0</v>
      </c>
      <c r="I71" s="46"/>
      <c r="J71" s="40">
        <f>C71*I71</f>
        <v>0</v>
      </c>
    </row>
    <row r="72" spans="1:10" s="45" customFormat="1" ht="21" customHeight="1">
      <c r="A72" s="38"/>
      <c r="B72" s="284" t="s">
        <v>176</v>
      </c>
      <c r="C72" s="100">
        <f>SUM(C57:C63)</f>
        <v>0</v>
      </c>
      <c r="D72" s="100" t="s">
        <v>16</v>
      </c>
      <c r="E72" s="77">
        <v>2.5</v>
      </c>
      <c r="F72" s="40">
        <f t="shared" si="6"/>
        <v>0</v>
      </c>
      <c r="G72" s="77"/>
      <c r="H72" s="78" t="s">
        <v>383</v>
      </c>
      <c r="I72" s="77"/>
      <c r="J72" s="78">
        <f>C72*I72</f>
        <v>0</v>
      </c>
    </row>
    <row r="73" spans="1:10" ht="21" customHeight="1" thickBot="1">
      <c r="A73" s="38"/>
      <c r="B73" s="286" t="s">
        <v>177</v>
      </c>
      <c r="C73" s="100">
        <f>+C67</f>
        <v>0</v>
      </c>
      <c r="D73" s="100" t="s">
        <v>14</v>
      </c>
      <c r="E73" s="77">
        <v>1.1</v>
      </c>
      <c r="F73" s="40">
        <f t="shared" si="6"/>
        <v>0</v>
      </c>
      <c r="G73" s="77"/>
      <c r="H73" s="78" t="s">
        <v>383</v>
      </c>
      <c r="I73" s="77">
        <v>0.1</v>
      </c>
      <c r="J73" s="78">
        <f>C73*I73</f>
        <v>0</v>
      </c>
    </row>
    <row r="74" spans="1:10" ht="21" customHeight="1" thickTop="1">
      <c r="A74" s="38"/>
      <c r="B74" s="109"/>
      <c r="C74" s="52"/>
      <c r="D74" s="38"/>
      <c r="E74" s="90"/>
      <c r="F74" s="104">
        <f>SUM(F56:F73)</f>
        <v>0</v>
      </c>
      <c r="G74" s="90"/>
      <c r="H74" s="104">
        <f>SUM(H56:H73)</f>
        <v>0</v>
      </c>
      <c r="I74" s="90"/>
      <c r="J74" s="104">
        <f>SUM(J56:J73)</f>
        <v>0</v>
      </c>
    </row>
    <row r="75" spans="1:10" s="45" customFormat="1" ht="21" customHeight="1">
      <c r="A75" s="38"/>
      <c r="B75" s="231" t="s">
        <v>493</v>
      </c>
      <c r="C75" s="232">
        <f>F74+H74+J74</f>
        <v>0</v>
      </c>
      <c r="D75" s="38"/>
      <c r="E75" s="46"/>
      <c r="F75" s="40"/>
      <c r="G75" s="46"/>
      <c r="H75" s="40"/>
      <c r="I75" s="46"/>
      <c r="J75" s="40"/>
    </row>
    <row r="76" spans="1:10" s="45" customFormat="1" ht="21" customHeight="1">
      <c r="A76" s="5"/>
      <c r="B76" s="67"/>
      <c r="C76" s="72"/>
      <c r="D76" s="69"/>
      <c r="E76" s="8"/>
      <c r="F76" s="11"/>
      <c r="G76" s="8"/>
      <c r="H76" s="11"/>
      <c r="I76" s="8"/>
      <c r="J76" s="11"/>
    </row>
    <row r="77" spans="1:10" s="45" customFormat="1" ht="21" customHeight="1">
      <c r="A77" s="5"/>
      <c r="B77" s="67"/>
      <c r="C77" s="72"/>
      <c r="D77" s="69"/>
      <c r="E77" s="8"/>
      <c r="F77" s="11"/>
      <c r="G77" s="8"/>
      <c r="H77" s="11"/>
      <c r="I77" s="8"/>
      <c r="J77" s="11"/>
    </row>
    <row r="78" spans="1:10" s="45" customFormat="1" ht="21" customHeight="1">
      <c r="A78" s="38"/>
      <c r="B78" s="110" t="s">
        <v>178</v>
      </c>
      <c r="C78" s="38"/>
      <c r="D78" s="38"/>
      <c r="E78" s="46"/>
      <c r="F78" s="40"/>
      <c r="G78" s="46"/>
      <c r="H78" s="40"/>
      <c r="I78" s="46"/>
      <c r="J78" s="40"/>
    </row>
    <row r="79" spans="1:10" ht="21" customHeight="1">
      <c r="A79" s="38"/>
      <c r="B79" s="111" t="s">
        <v>179</v>
      </c>
      <c r="C79" s="112">
        <f>C75</f>
        <v>0</v>
      </c>
      <c r="D79" s="38"/>
      <c r="E79" s="46"/>
      <c r="F79" s="40"/>
      <c r="G79" s="46"/>
      <c r="H79" s="40"/>
      <c r="I79" s="46"/>
      <c r="J79" s="40"/>
    </row>
    <row r="80" spans="1:10" ht="21" customHeight="1">
      <c r="A80" s="38"/>
      <c r="B80" s="113" t="s">
        <v>180</v>
      </c>
      <c r="C80" s="40">
        <f>C64</f>
        <v>0</v>
      </c>
      <c r="D80" s="38"/>
      <c r="E80" s="46"/>
      <c r="F80" s="40"/>
      <c r="G80" s="46"/>
      <c r="H80" s="40"/>
      <c r="I80" s="46"/>
      <c r="J80" s="40"/>
    </row>
    <row r="81" spans="1:10" ht="12" customHeight="1">
      <c r="A81" s="38"/>
      <c r="B81" s="113" t="s">
        <v>181</v>
      </c>
      <c r="C81" s="114" t="e">
        <f>C79/C80</f>
        <v>#DIV/0!</v>
      </c>
      <c r="D81" s="38"/>
      <c r="E81" s="46"/>
      <c r="F81" s="40"/>
      <c r="G81" s="46"/>
      <c r="H81" s="40"/>
      <c r="I81" s="46"/>
      <c r="J81" s="40"/>
    </row>
    <row r="82" spans="1:10" ht="21" customHeight="1">
      <c r="A82" s="5"/>
      <c r="B82" s="67"/>
      <c r="C82" s="72"/>
      <c r="D82" s="69"/>
      <c r="E82" s="8"/>
      <c r="F82" s="11"/>
      <c r="G82" s="8"/>
      <c r="H82" s="11"/>
      <c r="I82" s="8"/>
      <c r="J82" s="11"/>
    </row>
    <row r="83" spans="1:10" ht="21" customHeight="1">
      <c r="A83" s="5"/>
      <c r="B83" s="67" t="s">
        <v>377</v>
      </c>
      <c r="C83" s="72"/>
      <c r="D83" s="69"/>
      <c r="E83" s="8"/>
      <c r="F83" s="11">
        <f>SUM(F48,F74)</f>
        <v>128224</v>
      </c>
      <c r="G83" s="8"/>
      <c r="H83" s="11">
        <f>SUM(H48,H74)</f>
        <v>73326</v>
      </c>
      <c r="I83" s="8"/>
      <c r="J83" s="11">
        <f>SUM(J48,J74)</f>
        <v>40200</v>
      </c>
    </row>
    <row r="84" spans="1:10" ht="21" customHeight="1">
      <c r="A84" s="5"/>
      <c r="B84" s="67"/>
      <c r="C84" s="72"/>
      <c r="D84" s="69"/>
      <c r="E84" s="8"/>
      <c r="F84" s="11"/>
      <c r="G84" s="8"/>
      <c r="H84" s="11"/>
      <c r="I84" s="8"/>
      <c r="J84" s="11"/>
    </row>
    <row r="85" spans="1:10" ht="21" customHeight="1">
      <c r="A85" s="5"/>
      <c r="B85" s="20" t="s">
        <v>37</v>
      </c>
      <c r="C85" s="38"/>
      <c r="D85" s="5"/>
      <c r="E85" s="8"/>
      <c r="F85" s="11"/>
      <c r="G85" s="8"/>
      <c r="H85" s="11"/>
      <c r="I85" s="8"/>
      <c r="J85" s="11"/>
    </row>
    <row r="86" spans="1:10" ht="21" customHeight="1">
      <c r="A86" s="5"/>
      <c r="B86" s="5" t="s">
        <v>126</v>
      </c>
      <c r="C86" s="38"/>
      <c r="D86" s="5" t="s">
        <v>14</v>
      </c>
      <c r="E86" s="46">
        <v>0.5</v>
      </c>
      <c r="F86" s="11">
        <f>C86*E86</f>
        <v>0</v>
      </c>
      <c r="G86" s="8">
        <v>0.5</v>
      </c>
      <c r="H86" s="11">
        <f>C86*G86</f>
        <v>0</v>
      </c>
      <c r="I86" s="8">
        <v>0.1</v>
      </c>
      <c r="J86" s="11">
        <f>C86*I86</f>
        <v>0</v>
      </c>
    </row>
    <row r="87" spans="1:10" ht="21" customHeight="1">
      <c r="A87" s="5"/>
      <c r="B87" s="5" t="s">
        <v>318</v>
      </c>
      <c r="C87" s="38"/>
      <c r="D87" s="5" t="s">
        <v>14</v>
      </c>
      <c r="E87" s="46">
        <v>0.5</v>
      </c>
      <c r="F87" s="11">
        <f>C87*E87</f>
        <v>0</v>
      </c>
      <c r="G87" s="8">
        <v>0.75</v>
      </c>
      <c r="H87" s="11">
        <f>C87*G87</f>
        <v>0</v>
      </c>
      <c r="I87" s="8">
        <v>0.1</v>
      </c>
      <c r="J87" s="11">
        <f>C87*I87</f>
        <v>0</v>
      </c>
    </row>
    <row r="88" spans="1:10" ht="21" customHeight="1">
      <c r="A88" s="5"/>
      <c r="B88" s="5" t="s">
        <v>127</v>
      </c>
      <c r="C88" s="38"/>
      <c r="D88" s="5" t="s">
        <v>14</v>
      </c>
      <c r="E88" s="46">
        <v>0.5</v>
      </c>
      <c r="F88" s="11">
        <f>C88*E88</f>
        <v>0</v>
      </c>
      <c r="G88" s="287">
        <v>0.52</v>
      </c>
      <c r="H88" s="11">
        <f>C88*G88</f>
        <v>0</v>
      </c>
      <c r="I88" s="8"/>
      <c r="J88" s="11">
        <f>C88*I88</f>
        <v>0</v>
      </c>
    </row>
    <row r="89" spans="1:10" ht="21.75" customHeight="1" thickBot="1">
      <c r="A89" s="5"/>
      <c r="B89" s="5" t="s">
        <v>319</v>
      </c>
      <c r="C89" s="38"/>
      <c r="D89" s="5" t="s">
        <v>14</v>
      </c>
      <c r="E89" s="46">
        <v>0.75</v>
      </c>
      <c r="F89" s="11">
        <f>C89*E89</f>
        <v>0</v>
      </c>
      <c r="G89" s="287">
        <v>0.75</v>
      </c>
      <c r="H89" s="11">
        <f>C89*G89</f>
        <v>0</v>
      </c>
      <c r="I89" s="8"/>
      <c r="J89" s="11">
        <f>C89*I89</f>
        <v>0</v>
      </c>
    </row>
    <row r="90" spans="1:10" s="45" customFormat="1" ht="21" customHeight="1" thickTop="1">
      <c r="A90" s="5"/>
      <c r="B90" s="5"/>
      <c r="C90" s="38"/>
      <c r="D90" s="5"/>
      <c r="E90" s="56"/>
      <c r="F90" s="57">
        <f>SUM(F86:F89)</f>
        <v>0</v>
      </c>
      <c r="G90" s="56"/>
      <c r="H90" s="57">
        <f>SUM(H86:H89)</f>
        <v>0</v>
      </c>
      <c r="I90" s="56"/>
      <c r="J90" s="57">
        <f>SUM(J86:J89)</f>
        <v>0</v>
      </c>
    </row>
    <row r="91" spans="1:10" ht="21" customHeight="1">
      <c r="A91" s="5"/>
      <c r="B91" s="237" t="s">
        <v>494</v>
      </c>
      <c r="C91" s="233">
        <f>SUM(F90,H90,J90)</f>
        <v>0</v>
      </c>
      <c r="D91" s="5"/>
      <c r="E91" s="8"/>
      <c r="F91" s="11"/>
      <c r="G91" s="8"/>
      <c r="H91" s="11"/>
      <c r="I91" s="8"/>
      <c r="J91" s="11"/>
    </row>
    <row r="92" spans="1:10" ht="21" customHeight="1">
      <c r="A92" s="5"/>
      <c r="B92" s="48"/>
      <c r="C92" s="54"/>
      <c r="D92" s="5"/>
      <c r="E92" s="8"/>
      <c r="F92" s="11"/>
      <c r="G92" s="8"/>
      <c r="H92" s="11"/>
      <c r="I92" s="8"/>
      <c r="J92" s="11"/>
    </row>
    <row r="93" spans="1:10" ht="21" customHeight="1">
      <c r="A93" s="38"/>
      <c r="B93" s="137" t="s">
        <v>138</v>
      </c>
      <c r="C93" s="38"/>
      <c r="D93" s="38"/>
      <c r="E93" s="46"/>
      <c r="F93" s="40"/>
      <c r="G93" s="46"/>
      <c r="H93" s="40"/>
      <c r="I93" s="46"/>
      <c r="J93" s="40"/>
    </row>
    <row r="94" spans="1:10" ht="21" customHeight="1">
      <c r="A94" s="5"/>
      <c r="B94" s="250" t="s">
        <v>137</v>
      </c>
      <c r="C94" s="40"/>
      <c r="D94" s="38" t="s">
        <v>14</v>
      </c>
      <c r="E94" s="46"/>
      <c r="F94" s="40">
        <f>C94*E94</f>
        <v>0</v>
      </c>
      <c r="G94" s="46"/>
      <c r="H94" s="40">
        <f>C94*G94</f>
        <v>0</v>
      </c>
      <c r="I94" s="46">
        <v>3.5</v>
      </c>
      <c r="J94" s="40">
        <f>C94*I94</f>
        <v>0</v>
      </c>
    </row>
    <row r="95" spans="1:10" s="45" customFormat="1" ht="21" customHeight="1">
      <c r="A95" s="5"/>
      <c r="B95" s="250" t="s">
        <v>321</v>
      </c>
      <c r="C95" s="40"/>
      <c r="D95" s="38" t="s">
        <v>14</v>
      </c>
      <c r="E95" s="46"/>
      <c r="F95" s="40">
        <f>C95*E95</f>
        <v>0</v>
      </c>
      <c r="G95" s="46"/>
      <c r="H95" s="40">
        <f>C95*G95</f>
        <v>0</v>
      </c>
      <c r="I95" s="46">
        <v>9</v>
      </c>
      <c r="J95" s="40">
        <f>C95*I95</f>
        <v>0</v>
      </c>
    </row>
    <row r="96" spans="1:10" s="45" customFormat="1" ht="21" customHeight="1">
      <c r="A96" s="5"/>
      <c r="B96" s="250" t="s">
        <v>320</v>
      </c>
      <c r="C96" s="40"/>
      <c r="D96" s="38" t="s">
        <v>14</v>
      </c>
      <c r="E96" s="46"/>
      <c r="F96" s="40">
        <f>C96*E96</f>
        <v>0</v>
      </c>
      <c r="G96" s="46"/>
      <c r="H96" s="40">
        <f>C96*G96</f>
        <v>0</v>
      </c>
      <c r="I96" s="46">
        <v>10</v>
      </c>
      <c r="J96" s="40">
        <f>C96*I96</f>
        <v>0</v>
      </c>
    </row>
    <row r="97" spans="1:10" ht="21" customHeight="1" thickBot="1">
      <c r="A97" s="5"/>
      <c r="B97" s="250" t="s">
        <v>139</v>
      </c>
      <c r="C97" s="38"/>
      <c r="D97" s="38" t="s">
        <v>14</v>
      </c>
      <c r="E97" s="46"/>
      <c r="F97" s="40">
        <f>C97*E97</f>
        <v>0</v>
      </c>
      <c r="G97" s="46"/>
      <c r="H97" s="40">
        <f>C97*G97</f>
        <v>0</v>
      </c>
      <c r="I97" s="46">
        <v>5</v>
      </c>
      <c r="J97" s="40">
        <f>C97*I97</f>
        <v>0</v>
      </c>
    </row>
    <row r="98" spans="1:10" ht="21" customHeight="1" thickTop="1">
      <c r="A98" s="38"/>
      <c r="B98" s="38"/>
      <c r="C98" s="38"/>
      <c r="D98" s="38"/>
      <c r="E98" s="90"/>
      <c r="F98" s="104">
        <f>SUM(F94:F97)</f>
        <v>0</v>
      </c>
      <c r="G98" s="90"/>
      <c r="H98" s="104">
        <f>SUM(H94:H97)</f>
        <v>0</v>
      </c>
      <c r="I98" s="90"/>
      <c r="J98" s="104">
        <f>SUM(J94:J97)</f>
        <v>0</v>
      </c>
    </row>
    <row r="99" spans="1:10" ht="21" customHeight="1">
      <c r="A99" s="38"/>
      <c r="B99" s="231" t="s">
        <v>495</v>
      </c>
      <c r="C99" s="232">
        <f>F98+H98+J98</f>
        <v>0</v>
      </c>
      <c r="D99" s="38"/>
      <c r="E99" s="46"/>
      <c r="F99" s="40"/>
      <c r="G99" s="46"/>
      <c r="H99" s="40"/>
      <c r="I99" s="46"/>
      <c r="J99" s="40"/>
    </row>
    <row r="100" spans="1:10" ht="21" customHeight="1">
      <c r="A100" s="21"/>
      <c r="B100" s="55"/>
      <c r="C100" s="58"/>
      <c r="D100" s="21"/>
      <c r="E100" s="22"/>
      <c r="F100" s="23"/>
      <c r="G100" s="22"/>
      <c r="H100" s="23"/>
      <c r="I100" s="22"/>
      <c r="J100" s="23"/>
    </row>
    <row r="101" spans="1:10" ht="21" customHeight="1">
      <c r="A101" s="21"/>
      <c r="B101" s="55"/>
      <c r="C101" s="58"/>
      <c r="D101" s="21"/>
      <c r="E101" s="22"/>
      <c r="F101" s="23"/>
      <c r="G101" s="22"/>
      <c r="H101" s="23"/>
      <c r="I101" s="22"/>
      <c r="J101" s="23"/>
    </row>
    <row r="102" spans="1:10" ht="12.75">
      <c r="A102" s="6"/>
      <c r="B102" s="6"/>
      <c r="C102" s="6"/>
      <c r="D102" s="6"/>
      <c r="E102" s="9"/>
      <c r="F102" s="12"/>
      <c r="G102" s="9"/>
      <c r="H102" s="12"/>
      <c r="I102" s="9"/>
      <c r="J102" s="12"/>
    </row>
    <row r="103" spans="1:10" ht="12.75">
      <c r="A103" s="14"/>
      <c r="B103" s="14"/>
      <c r="C103" s="14"/>
      <c r="D103" s="14"/>
      <c r="E103" s="16"/>
      <c r="F103" s="15"/>
      <c r="G103" s="16"/>
      <c r="H103" s="15"/>
      <c r="I103" s="16"/>
      <c r="J103" s="15"/>
    </row>
    <row r="104" spans="1:10" ht="12.75">
      <c r="A104" s="14"/>
      <c r="B104" s="14"/>
      <c r="C104" s="14"/>
      <c r="D104" s="14"/>
      <c r="E104" s="16"/>
      <c r="F104" s="15"/>
      <c r="G104" s="16"/>
      <c r="H104" s="15"/>
      <c r="I104" s="16"/>
      <c r="J104" s="15"/>
    </row>
    <row r="105" spans="5:10" ht="12.75">
      <c r="E105" s="16"/>
      <c r="F105" s="15"/>
      <c r="G105" s="16"/>
      <c r="H105" s="15"/>
      <c r="I105" s="16"/>
      <c r="J105" s="15"/>
    </row>
    <row r="106" spans="5:10" ht="12.75">
      <c r="E106" s="16"/>
      <c r="F106" s="15"/>
      <c r="G106" s="16"/>
      <c r="H106" s="15"/>
      <c r="I106" s="16"/>
      <c r="J106" s="15"/>
    </row>
    <row r="107" spans="5:10" ht="12.75">
      <c r="E107" s="16"/>
      <c r="F107" s="15"/>
      <c r="G107" s="16"/>
      <c r="H107" s="15"/>
      <c r="I107" s="16"/>
      <c r="J107" s="15"/>
    </row>
    <row r="108" spans="5:10" ht="12.75">
      <c r="E108" s="16"/>
      <c r="F108" s="15"/>
      <c r="G108" s="16"/>
      <c r="H108" s="15"/>
      <c r="I108" s="16"/>
      <c r="J108" s="15"/>
    </row>
    <row r="109" spans="5:10" ht="12.75">
      <c r="E109" s="16"/>
      <c r="F109" s="15"/>
      <c r="G109" s="16"/>
      <c r="H109" s="15"/>
      <c r="I109" s="16"/>
      <c r="J109" s="15"/>
    </row>
    <row r="110" spans="5:10" ht="12.75">
      <c r="E110" s="16"/>
      <c r="F110" s="15"/>
      <c r="G110" s="16"/>
      <c r="H110" s="15"/>
      <c r="I110" s="16"/>
      <c r="J110" s="15"/>
    </row>
    <row r="111" spans="5:10" ht="12.75">
      <c r="E111" s="16"/>
      <c r="F111" s="15"/>
      <c r="G111" s="16"/>
      <c r="H111" s="15"/>
      <c r="I111" s="16"/>
      <c r="J111" s="15"/>
    </row>
    <row r="112" spans="5:10" ht="12.75">
      <c r="E112" s="16"/>
      <c r="F112" s="15"/>
      <c r="G112" s="16"/>
      <c r="H112" s="15"/>
      <c r="I112" s="16"/>
      <c r="J112" s="15"/>
    </row>
    <row r="113" spans="5:10" ht="12.75">
      <c r="E113" s="16"/>
      <c r="F113" s="15"/>
      <c r="G113" s="16"/>
      <c r="H113" s="15"/>
      <c r="I113" s="16"/>
      <c r="J113" s="15"/>
    </row>
    <row r="114" spans="5:10" ht="12.75">
      <c r="E114" s="16"/>
      <c r="F114" s="15"/>
      <c r="G114" s="16"/>
      <c r="H114" s="15"/>
      <c r="I114" s="16"/>
      <c r="J114" s="15"/>
    </row>
    <row r="115" spans="5:10" ht="12.75">
      <c r="E115" s="16"/>
      <c r="F115" s="15"/>
      <c r="G115" s="16"/>
      <c r="H115" s="15"/>
      <c r="I115" s="16"/>
      <c r="J115" s="15"/>
    </row>
    <row r="116" spans="5:10" ht="12.75">
      <c r="E116" s="16"/>
      <c r="F116" s="15"/>
      <c r="G116" s="16"/>
      <c r="H116" s="15"/>
      <c r="I116" s="16"/>
      <c r="J116" s="15"/>
    </row>
    <row r="117" spans="5:10" ht="12.75">
      <c r="E117" s="16"/>
      <c r="F117" s="15"/>
      <c r="G117" s="16"/>
      <c r="H117" s="15"/>
      <c r="I117" s="16"/>
      <c r="J117" s="15"/>
    </row>
    <row r="118" spans="5:10" ht="12.75">
      <c r="E118" s="16"/>
      <c r="F118" s="15"/>
      <c r="G118" s="16"/>
      <c r="H118" s="15"/>
      <c r="I118" s="16"/>
      <c r="J118" s="15"/>
    </row>
    <row r="119" spans="5:10" ht="12.75">
      <c r="E119" s="16"/>
      <c r="F119" s="15"/>
      <c r="G119" s="16"/>
      <c r="H119" s="15"/>
      <c r="I119" s="16"/>
      <c r="J119" s="15"/>
    </row>
    <row r="120" spans="5:10" ht="12.75">
      <c r="E120" s="16"/>
      <c r="F120" s="15"/>
      <c r="G120" s="16"/>
      <c r="H120" s="15"/>
      <c r="I120" s="16"/>
      <c r="J120" s="15"/>
    </row>
    <row r="121" spans="5:10" ht="12.75">
      <c r="E121" s="16"/>
      <c r="F121" s="15"/>
      <c r="G121" s="16"/>
      <c r="H121" s="15"/>
      <c r="I121" s="16"/>
      <c r="J121" s="15"/>
    </row>
    <row r="122" spans="5:10" ht="12.75">
      <c r="E122" s="16"/>
      <c r="F122" s="15"/>
      <c r="G122" s="16"/>
      <c r="H122" s="15"/>
      <c r="I122" s="16"/>
      <c r="J122" s="15"/>
    </row>
    <row r="123" spans="5:10" ht="12.75">
      <c r="E123" s="16"/>
      <c r="F123" s="15"/>
      <c r="G123" s="16"/>
      <c r="H123" s="15"/>
      <c r="I123" s="16"/>
      <c r="J123" s="15"/>
    </row>
    <row r="124" spans="5:10" ht="12.75">
      <c r="E124" s="16"/>
      <c r="F124" s="14"/>
      <c r="G124" s="16"/>
      <c r="H124" s="14"/>
      <c r="I124" s="16"/>
      <c r="J124" s="14"/>
    </row>
    <row r="125" spans="5:10" ht="12.75">
      <c r="E125" s="16"/>
      <c r="F125" s="14"/>
      <c r="G125" s="16"/>
      <c r="H125" s="14"/>
      <c r="I125" s="16"/>
      <c r="J125" s="14"/>
    </row>
  </sheetData>
  <sheetProtection/>
  <mergeCells count="1">
    <mergeCell ref="F2:G2"/>
  </mergeCells>
  <printOptions/>
  <pageMargins left="0.25" right="0" top="1" bottom="0" header="0.5" footer="0"/>
  <pageSetup horizontalDpi="300" verticalDpi="300" orientation="landscape" r:id="rId1"/>
  <headerFooter alignWithMargins="0">
    <oddHeader>&amp;RPage &amp;P of 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T111"/>
  <sheetViews>
    <sheetView zoomScalePageLayoutView="0" workbookViewId="0" topLeftCell="A1">
      <pane ySplit="6" topLeftCell="A28" activePane="bottomLeft" state="frozen"/>
      <selection pane="topLeft" activeCell="A1" sqref="A1"/>
      <selection pane="bottomLeft" activeCell="H41" sqref="H41"/>
    </sheetView>
  </sheetViews>
  <sheetFormatPr defaultColWidth="9.140625" defaultRowHeight="12.75"/>
  <cols>
    <col min="1" max="1" width="9.57421875" style="0" bestFit="1" customWidth="1"/>
    <col min="2" max="2" width="44.7109375" style="0" bestFit="1" customWidth="1"/>
    <col min="3" max="3" width="10.28125" style="0" customWidth="1"/>
    <col min="5" max="5" width="7.28125" style="17" customWidth="1"/>
    <col min="6" max="6" width="10.28125" style="0" customWidth="1"/>
    <col min="7" max="7" width="7.00390625" style="17" customWidth="1"/>
    <col min="8" max="8" width="14.00390625" style="0" bestFit="1" customWidth="1"/>
    <col min="9" max="9" width="7.00390625" style="17" customWidth="1"/>
    <col min="10" max="10" width="10.28125" style="0" customWidth="1"/>
  </cols>
  <sheetData>
    <row r="1" spans="1:8" s="45" customFormat="1" ht="12.75">
      <c r="A1" s="166" t="s">
        <v>446</v>
      </c>
      <c r="B1" s="195">
        <f>Spread!B1</f>
        <v>0</v>
      </c>
      <c r="C1" s="165" t="s">
        <v>370</v>
      </c>
      <c r="D1" s="196" t="e">
        <f>Spread!#REF!</f>
        <v>#REF!</v>
      </c>
      <c r="E1"/>
      <c r="F1" s="165" t="s">
        <v>371</v>
      </c>
      <c r="G1" s="51"/>
      <c r="H1" s="170" t="e">
        <f>Spread!#REF!</f>
        <v>#REF!</v>
      </c>
    </row>
    <row r="2" spans="1:8" s="45" customFormat="1" ht="12.75">
      <c r="A2" s="166"/>
      <c r="B2" s="195" t="e">
        <f>Spread!#REF!</f>
        <v>#REF!</v>
      </c>
      <c r="C2" s="51"/>
      <c r="D2" s="51"/>
      <c r="E2"/>
      <c r="F2" s="476" t="s">
        <v>447</v>
      </c>
      <c r="G2" s="476"/>
      <c r="H2" s="197" t="e">
        <f>Spread!#REF!</f>
        <v>#REF!</v>
      </c>
    </row>
    <row r="3" spans="1:9" s="45" customFormat="1" ht="12.75" customHeight="1">
      <c r="A3" s="168"/>
      <c r="B3" s="195">
        <f>Spread!B3</f>
        <v>0</v>
      </c>
      <c r="C3" s="165" t="s">
        <v>445</v>
      </c>
      <c r="D3" s="51" t="e">
        <f>Spread!#REF!</f>
        <v>#REF!</v>
      </c>
      <c r="E3" s="51"/>
      <c r="F3" s="51"/>
      <c r="G3" s="51"/>
      <c r="H3" s="51"/>
      <c r="I3" s="118"/>
    </row>
    <row r="4" s="45" customFormat="1" ht="12" customHeight="1">
      <c r="B4" s="119"/>
    </row>
    <row r="5" spans="1:10" ht="12.75" customHeight="1">
      <c r="A5" s="1" t="s">
        <v>7</v>
      </c>
      <c r="B5" s="1" t="s">
        <v>0</v>
      </c>
      <c r="C5" s="1" t="s">
        <v>8</v>
      </c>
      <c r="D5" s="1" t="s">
        <v>9</v>
      </c>
      <c r="E5" s="18" t="s">
        <v>2</v>
      </c>
      <c r="F5" s="2"/>
      <c r="G5" s="18" t="s">
        <v>1</v>
      </c>
      <c r="H5" s="2"/>
      <c r="I5" s="18" t="s">
        <v>10</v>
      </c>
      <c r="J5" s="2"/>
    </row>
    <row r="6" spans="1:10" ht="12.75" customHeight="1" thickBot="1">
      <c r="A6" s="3"/>
      <c r="B6" s="3"/>
      <c r="C6" s="3"/>
      <c r="D6" s="3"/>
      <c r="E6" s="19" t="s">
        <v>11</v>
      </c>
      <c r="F6" s="3" t="s">
        <v>12</v>
      </c>
      <c r="G6" s="19" t="s">
        <v>11</v>
      </c>
      <c r="H6" s="3" t="s">
        <v>12</v>
      </c>
      <c r="I6" s="19" t="s">
        <v>13</v>
      </c>
      <c r="J6" s="3" t="s">
        <v>12</v>
      </c>
    </row>
    <row r="7" spans="1:10" ht="21" customHeight="1" thickTop="1">
      <c r="A7" s="5"/>
      <c r="B7" s="20" t="s">
        <v>39</v>
      </c>
      <c r="C7" s="38"/>
      <c r="D7" s="5"/>
      <c r="E7" s="8"/>
      <c r="F7" s="11"/>
      <c r="G7" s="8"/>
      <c r="H7" s="11"/>
      <c r="I7" s="8"/>
      <c r="J7" s="11"/>
    </row>
    <row r="8" spans="1:16" ht="21" customHeight="1">
      <c r="A8" s="5"/>
      <c r="B8" s="30" t="s">
        <v>324</v>
      </c>
      <c r="C8" s="38"/>
      <c r="D8" s="5" t="s">
        <v>18</v>
      </c>
      <c r="E8" s="8"/>
      <c r="F8" s="11">
        <f>C8*E8</f>
        <v>0</v>
      </c>
      <c r="G8" s="8"/>
      <c r="H8" s="11">
        <f>C8*G8</f>
        <v>0</v>
      </c>
      <c r="I8" s="8">
        <v>40</v>
      </c>
      <c r="J8" s="11">
        <f>C8*I8</f>
        <v>0</v>
      </c>
      <c r="L8" s="45"/>
      <c r="M8" s="45"/>
      <c r="N8" s="45"/>
      <c r="O8" s="45"/>
      <c r="P8" s="45"/>
    </row>
    <row r="9" spans="1:16" ht="21" customHeight="1">
      <c r="A9" s="5"/>
      <c r="B9" s="30" t="s">
        <v>323</v>
      </c>
      <c r="C9" s="38"/>
      <c r="D9" s="5" t="s">
        <v>18</v>
      </c>
      <c r="E9" s="8"/>
      <c r="F9" s="11">
        <f>C9*E9</f>
        <v>0</v>
      </c>
      <c r="G9" s="8"/>
      <c r="H9" s="11">
        <f>C9*G9</f>
        <v>0</v>
      </c>
      <c r="I9" s="8">
        <v>35</v>
      </c>
      <c r="J9" s="11">
        <f>C9*I9</f>
        <v>0</v>
      </c>
      <c r="L9" s="45"/>
      <c r="M9" s="45"/>
      <c r="N9" s="45"/>
      <c r="O9" s="45"/>
      <c r="P9" s="45"/>
    </row>
    <row r="10" spans="1:10" ht="21" customHeight="1">
      <c r="A10" s="33"/>
      <c r="B10" s="5" t="s">
        <v>40</v>
      </c>
      <c r="C10" s="38"/>
      <c r="D10" s="5" t="s">
        <v>14</v>
      </c>
      <c r="E10" s="8"/>
      <c r="F10" s="11">
        <f>C10*E10</f>
        <v>0</v>
      </c>
      <c r="G10" s="8"/>
      <c r="H10" s="11">
        <f>C10*G10</f>
        <v>0</v>
      </c>
      <c r="I10" s="8">
        <v>2.75</v>
      </c>
      <c r="J10" s="11">
        <f>C10*I10</f>
        <v>0</v>
      </c>
    </row>
    <row r="11" spans="1:10" ht="21" customHeight="1">
      <c r="A11" s="33"/>
      <c r="B11" s="21" t="s">
        <v>322</v>
      </c>
      <c r="C11" s="38"/>
      <c r="D11" s="5" t="s">
        <v>18</v>
      </c>
      <c r="E11" s="8"/>
      <c r="F11" s="11">
        <f>C11*E11</f>
        <v>0</v>
      </c>
      <c r="G11" s="8"/>
      <c r="H11" s="11">
        <f>C11*G11</f>
        <v>0</v>
      </c>
      <c r="I11" s="8">
        <v>45</v>
      </c>
      <c r="J11" s="11">
        <f>C11*I11</f>
        <v>0</v>
      </c>
    </row>
    <row r="12" spans="1:20" ht="21" customHeight="1" thickBot="1">
      <c r="A12" s="5"/>
      <c r="B12" s="30" t="s">
        <v>41</v>
      </c>
      <c r="C12" s="100"/>
      <c r="D12" s="5" t="s">
        <v>16</v>
      </c>
      <c r="E12" s="22"/>
      <c r="F12" s="23">
        <f>C12*E12</f>
        <v>0</v>
      </c>
      <c r="G12" s="22"/>
      <c r="H12" s="23">
        <f>C12*G12</f>
        <v>0</v>
      </c>
      <c r="I12" s="22">
        <v>1.75</v>
      </c>
      <c r="J12" s="23">
        <f>C12*I12</f>
        <v>0</v>
      </c>
      <c r="L12" s="45"/>
      <c r="M12" s="45"/>
      <c r="N12" s="45"/>
      <c r="O12" s="45"/>
      <c r="P12" s="45"/>
      <c r="Q12" s="45"/>
      <c r="R12" s="45"/>
      <c r="S12" s="45"/>
      <c r="T12" s="45"/>
    </row>
    <row r="13" spans="1:10" ht="21" customHeight="1" thickTop="1">
      <c r="A13" s="5"/>
      <c r="B13" s="5"/>
      <c r="C13" s="38"/>
      <c r="D13" s="5"/>
      <c r="E13" s="56"/>
      <c r="F13" s="57">
        <f>SUM(F8:F12)</f>
        <v>0</v>
      </c>
      <c r="G13" s="56"/>
      <c r="H13" s="57">
        <f>SUM(H8:H12)</f>
        <v>0</v>
      </c>
      <c r="I13" s="56"/>
      <c r="J13" s="57">
        <f>SUM(J8:J12)</f>
        <v>0</v>
      </c>
    </row>
    <row r="14" spans="1:10" ht="21" customHeight="1">
      <c r="A14" s="5"/>
      <c r="B14" s="237" t="s">
        <v>496</v>
      </c>
      <c r="C14" s="233">
        <f>SUM(F13,H13,J13)</f>
        <v>0</v>
      </c>
      <c r="D14" s="5"/>
      <c r="E14" s="8"/>
      <c r="F14" s="11"/>
      <c r="G14" s="8"/>
      <c r="H14" s="11"/>
      <c r="I14" s="8"/>
      <c r="J14" s="11"/>
    </row>
    <row r="15" spans="1:10" ht="12" customHeight="1">
      <c r="A15" s="5"/>
      <c r="B15" s="48"/>
      <c r="C15" s="54"/>
      <c r="D15" s="5"/>
      <c r="E15" s="8"/>
      <c r="F15" s="11"/>
      <c r="G15" s="8"/>
      <c r="H15" s="11"/>
      <c r="I15" s="8"/>
      <c r="J15" s="11"/>
    </row>
    <row r="16" spans="1:10" ht="21" customHeight="1">
      <c r="A16" s="5"/>
      <c r="B16" s="20" t="s">
        <v>45</v>
      </c>
      <c r="C16" s="38"/>
      <c r="D16" s="5"/>
      <c r="E16" s="8"/>
      <c r="F16" s="11"/>
      <c r="G16" s="8"/>
      <c r="H16" s="11"/>
      <c r="I16" s="8"/>
      <c r="J16" s="11"/>
    </row>
    <row r="17" spans="1:16" ht="21" customHeight="1">
      <c r="A17" s="5"/>
      <c r="B17" s="30" t="s">
        <v>325</v>
      </c>
      <c r="C17" s="38"/>
      <c r="D17" s="5" t="s">
        <v>14</v>
      </c>
      <c r="E17" s="8"/>
      <c r="F17" s="11">
        <f>C17*E17</f>
        <v>0</v>
      </c>
      <c r="G17" s="8"/>
      <c r="H17" s="11">
        <f>C17*G17</f>
        <v>0</v>
      </c>
      <c r="I17" s="8">
        <v>12</v>
      </c>
      <c r="J17" s="11">
        <f>C17*I17</f>
        <v>0</v>
      </c>
      <c r="L17" s="45"/>
      <c r="M17" s="45"/>
      <c r="N17" s="45"/>
      <c r="O17" s="45"/>
      <c r="P17" s="45"/>
    </row>
    <row r="18" spans="1:16" ht="21" customHeight="1">
      <c r="A18" s="5"/>
      <c r="B18" s="30" t="s">
        <v>192</v>
      </c>
      <c r="C18" s="38"/>
      <c r="D18" s="5" t="s">
        <v>16</v>
      </c>
      <c r="E18" s="8"/>
      <c r="F18" s="11">
        <f>C18*E18</f>
        <v>0</v>
      </c>
      <c r="G18" s="8"/>
      <c r="H18" s="11">
        <f>C18*G18</f>
        <v>0</v>
      </c>
      <c r="I18" s="8">
        <v>12</v>
      </c>
      <c r="J18" s="11">
        <f>C18*I18</f>
        <v>0</v>
      </c>
      <c r="L18" s="45"/>
      <c r="M18" s="45"/>
      <c r="N18" s="45"/>
      <c r="O18" s="45"/>
      <c r="P18" s="45"/>
    </row>
    <row r="19" spans="1:10" ht="21" customHeight="1" thickBot="1">
      <c r="A19" s="33"/>
      <c r="B19" s="5" t="s">
        <v>250</v>
      </c>
      <c r="C19" s="38"/>
      <c r="D19" s="5" t="s">
        <v>14</v>
      </c>
      <c r="E19" s="22"/>
      <c r="F19" s="23">
        <f>C19*E19</f>
        <v>0</v>
      </c>
      <c r="G19" s="22"/>
      <c r="H19" s="23">
        <f>C19*G19</f>
        <v>0</v>
      </c>
      <c r="I19" s="22">
        <v>11</v>
      </c>
      <c r="J19" s="23">
        <f>C19*I19</f>
        <v>0</v>
      </c>
    </row>
    <row r="20" spans="1:10" ht="21" customHeight="1" thickTop="1">
      <c r="A20" s="5"/>
      <c r="B20" s="5"/>
      <c r="C20" s="38"/>
      <c r="D20" s="5"/>
      <c r="E20" s="56"/>
      <c r="F20" s="57">
        <f>SUM(F17:F19)</f>
        <v>0</v>
      </c>
      <c r="G20" s="56"/>
      <c r="H20" s="57">
        <f>SUM(H17:H19)</f>
        <v>0</v>
      </c>
      <c r="I20" s="56"/>
      <c r="J20" s="57">
        <f>SUM(J17:J19)</f>
        <v>0</v>
      </c>
    </row>
    <row r="21" spans="1:10" ht="21" customHeight="1">
      <c r="A21" s="5"/>
      <c r="B21" s="237" t="s">
        <v>497</v>
      </c>
      <c r="C21" s="233">
        <f>SUM(F20,H20,J20)</f>
        <v>0</v>
      </c>
      <c r="D21" s="5"/>
      <c r="E21" s="8"/>
      <c r="F21" s="11"/>
      <c r="G21" s="8"/>
      <c r="H21" s="11"/>
      <c r="I21" s="8"/>
      <c r="J21" s="11"/>
    </row>
    <row r="22" spans="1:10" ht="12" customHeight="1">
      <c r="A22" s="21"/>
      <c r="B22" s="55"/>
      <c r="C22" s="58"/>
      <c r="D22" s="21"/>
      <c r="E22" s="22"/>
      <c r="F22" s="23"/>
      <c r="G22" s="22"/>
      <c r="H22" s="23"/>
      <c r="I22" s="22"/>
      <c r="J22" s="23"/>
    </row>
    <row r="23" spans="1:10" ht="21" customHeight="1">
      <c r="A23" s="21"/>
      <c r="B23" s="20" t="s">
        <v>275</v>
      </c>
      <c r="C23" s="38"/>
      <c r="D23" s="5"/>
      <c r="E23" s="8"/>
      <c r="F23" s="11"/>
      <c r="G23" s="8"/>
      <c r="H23" s="11"/>
      <c r="I23" s="8"/>
      <c r="J23" s="11"/>
    </row>
    <row r="24" spans="1:10" ht="21" customHeight="1">
      <c r="A24" s="21"/>
      <c r="B24" s="30" t="s">
        <v>272</v>
      </c>
      <c r="C24" s="38"/>
      <c r="D24" s="5" t="s">
        <v>14</v>
      </c>
      <c r="E24" s="8"/>
      <c r="F24" s="11">
        <f>C24*E24</f>
        <v>0</v>
      </c>
      <c r="G24" s="8"/>
      <c r="H24" s="11">
        <f>C24*G24</f>
        <v>0</v>
      </c>
      <c r="I24" s="8">
        <v>7</v>
      </c>
      <c r="J24" s="11">
        <f>C24*I24</f>
        <v>0</v>
      </c>
    </row>
    <row r="25" spans="1:10" ht="21" customHeight="1">
      <c r="A25" s="21"/>
      <c r="B25" s="30"/>
      <c r="C25" s="38"/>
      <c r="D25" s="5" t="s">
        <v>14</v>
      </c>
      <c r="E25" s="8"/>
      <c r="F25" s="11">
        <f>C25*E25</f>
        <v>0</v>
      </c>
      <c r="G25" s="8"/>
      <c r="H25" s="11">
        <f>C25*G25</f>
        <v>0</v>
      </c>
      <c r="I25" s="8">
        <v>2</v>
      </c>
      <c r="J25" s="11">
        <f>C25*I25</f>
        <v>0</v>
      </c>
    </row>
    <row r="26" spans="1:10" ht="21" customHeight="1" thickBot="1">
      <c r="A26" s="21"/>
      <c r="B26" s="5"/>
      <c r="C26" s="38"/>
      <c r="D26" s="5" t="s">
        <v>14</v>
      </c>
      <c r="E26" s="22"/>
      <c r="F26" s="23">
        <f>C26*E26</f>
        <v>0</v>
      </c>
      <c r="G26" s="22"/>
      <c r="H26" s="23">
        <f>C26*G26</f>
        <v>0</v>
      </c>
      <c r="I26" s="22">
        <v>5</v>
      </c>
      <c r="J26" s="23">
        <f>C26*I26</f>
        <v>0</v>
      </c>
    </row>
    <row r="27" spans="1:10" ht="21" customHeight="1" thickTop="1">
      <c r="A27" s="21"/>
      <c r="B27" s="5"/>
      <c r="C27" s="38"/>
      <c r="D27" s="5"/>
      <c r="E27" s="56"/>
      <c r="F27" s="57">
        <f>SUM(F24:F26)</f>
        <v>0</v>
      </c>
      <c r="G27" s="56"/>
      <c r="H27" s="57">
        <f>SUM(H24:H26)</f>
        <v>0</v>
      </c>
      <c r="I27" s="56"/>
      <c r="J27" s="57">
        <f>SUM(J24:J26)</f>
        <v>0</v>
      </c>
    </row>
    <row r="28" spans="1:10" ht="21" customHeight="1">
      <c r="A28" s="21"/>
      <c r="B28" s="237" t="s">
        <v>498</v>
      </c>
      <c r="C28" s="233">
        <f>SUM(F27,H27,J27)</f>
        <v>0</v>
      </c>
      <c r="D28" s="5"/>
      <c r="E28" s="8"/>
      <c r="F28" s="11"/>
      <c r="G28" s="8"/>
      <c r="H28" s="11"/>
      <c r="I28" s="8"/>
      <c r="J28" s="11"/>
    </row>
    <row r="29" spans="1:10" ht="21" customHeight="1">
      <c r="A29" s="21"/>
      <c r="B29" s="296"/>
      <c r="C29" s="297"/>
      <c r="D29" s="21"/>
      <c r="E29" s="22"/>
      <c r="F29" s="23"/>
      <c r="G29" s="22"/>
      <c r="H29" s="23"/>
      <c r="I29" s="22"/>
      <c r="J29" s="23"/>
    </row>
    <row r="30" spans="1:10" ht="21" customHeight="1">
      <c r="A30" s="21"/>
      <c r="B30" s="20" t="s">
        <v>633</v>
      </c>
      <c r="C30" s="38"/>
      <c r="D30" s="5"/>
      <c r="E30" s="8"/>
      <c r="F30" s="11"/>
      <c r="G30" s="8"/>
      <c r="H30" s="11"/>
      <c r="I30" s="8"/>
      <c r="J30" s="11"/>
    </row>
    <row r="31" spans="1:10" ht="21" customHeight="1">
      <c r="A31" s="21"/>
      <c r="B31" s="30" t="s">
        <v>272</v>
      </c>
      <c r="C31" s="38"/>
      <c r="D31" s="5" t="s">
        <v>14</v>
      </c>
      <c r="E31" s="8"/>
      <c r="F31" s="11">
        <f>C31*E31</f>
        <v>0</v>
      </c>
      <c r="G31" s="8"/>
      <c r="H31" s="11">
        <f>C31*G31</f>
        <v>0</v>
      </c>
      <c r="I31" s="8">
        <v>6.5</v>
      </c>
      <c r="J31" s="11">
        <f>C31*I31</f>
        <v>0</v>
      </c>
    </row>
    <row r="32" spans="1:10" ht="21" customHeight="1">
      <c r="A32" s="21"/>
      <c r="B32" s="30" t="s">
        <v>531</v>
      </c>
      <c r="C32" s="38"/>
      <c r="D32" s="5" t="s">
        <v>14</v>
      </c>
      <c r="E32" s="8"/>
      <c r="F32" s="11">
        <f>C32*E32</f>
        <v>0</v>
      </c>
      <c r="G32" s="8"/>
      <c r="H32" s="11">
        <f>C32*G32</f>
        <v>0</v>
      </c>
      <c r="I32" s="8">
        <v>2</v>
      </c>
      <c r="J32" s="11">
        <f>C32*I32</f>
        <v>0</v>
      </c>
    </row>
    <row r="33" spans="1:10" ht="21" customHeight="1" thickBot="1">
      <c r="A33" s="21"/>
      <c r="B33" s="5" t="s">
        <v>532</v>
      </c>
      <c r="C33" s="38"/>
      <c r="D33" s="5" t="s">
        <v>14</v>
      </c>
      <c r="E33" s="22"/>
      <c r="F33" s="23">
        <f>C33*E33</f>
        <v>0</v>
      </c>
      <c r="G33" s="22"/>
      <c r="H33" s="23">
        <f>C33*G33</f>
        <v>0</v>
      </c>
      <c r="I33" s="22">
        <v>5</v>
      </c>
      <c r="J33" s="23">
        <f>C33*I33</f>
        <v>0</v>
      </c>
    </row>
    <row r="34" spans="1:10" ht="21" customHeight="1" thickTop="1">
      <c r="A34" s="21"/>
      <c r="B34" s="5"/>
      <c r="C34" s="38"/>
      <c r="D34" s="5"/>
      <c r="E34" s="56"/>
      <c r="F34" s="57">
        <f>SUM(F31:F33)</f>
        <v>0</v>
      </c>
      <c r="G34" s="56"/>
      <c r="H34" s="57">
        <f>SUM(H31:H33)</f>
        <v>0</v>
      </c>
      <c r="I34" s="56"/>
      <c r="J34" s="57">
        <f>SUM(J31:J33)</f>
        <v>0</v>
      </c>
    </row>
    <row r="35" spans="1:10" ht="21" customHeight="1">
      <c r="A35" s="21"/>
      <c r="B35" s="237" t="s">
        <v>634</v>
      </c>
      <c r="C35" s="233">
        <f>SUM(F34,H34,J34)</f>
        <v>0</v>
      </c>
      <c r="D35" s="5"/>
      <c r="E35" s="8"/>
      <c r="F35" s="11"/>
      <c r="G35" s="8"/>
      <c r="H35" s="11"/>
      <c r="I35" s="8"/>
      <c r="J35" s="11"/>
    </row>
    <row r="36" spans="1:10" ht="12" customHeight="1">
      <c r="A36" s="21"/>
      <c r="B36" s="55"/>
      <c r="C36" s="58"/>
      <c r="D36" s="21"/>
      <c r="E36" s="22"/>
      <c r="F36" s="23"/>
      <c r="G36" s="22"/>
      <c r="H36" s="23"/>
      <c r="I36" s="22"/>
      <c r="J36" s="23"/>
    </row>
    <row r="37" spans="1:10" ht="21" customHeight="1">
      <c r="A37" s="5"/>
      <c r="B37" s="20" t="s">
        <v>38</v>
      </c>
      <c r="C37" s="38"/>
      <c r="D37" s="5"/>
      <c r="E37" s="8"/>
      <c r="F37" s="11"/>
      <c r="G37" s="8"/>
      <c r="H37" s="11"/>
      <c r="I37" s="8"/>
      <c r="J37" s="11"/>
    </row>
    <row r="38" spans="1:10" ht="21" customHeight="1">
      <c r="A38" s="5"/>
      <c r="B38" s="5" t="s">
        <v>246</v>
      </c>
      <c r="C38" s="99"/>
      <c r="D38" s="5" t="s">
        <v>14</v>
      </c>
      <c r="E38" s="8"/>
      <c r="F38" s="11">
        <f aca="true" t="shared" si="0" ref="F38:F43">C38*E38</f>
        <v>0</v>
      </c>
      <c r="G38" s="8"/>
      <c r="H38" s="11">
        <f aca="true" t="shared" si="1" ref="H38:H43">C38*G38</f>
        <v>0</v>
      </c>
      <c r="I38" s="8">
        <v>0.45</v>
      </c>
      <c r="J38" s="11">
        <f aca="true" t="shared" si="2" ref="J38:J43">C38*I38</f>
        <v>0</v>
      </c>
    </row>
    <row r="39" spans="1:10" ht="21" customHeight="1">
      <c r="A39" s="5"/>
      <c r="B39" s="5" t="s">
        <v>543</v>
      </c>
      <c r="C39" s="40"/>
      <c r="D39" s="5" t="s">
        <v>14</v>
      </c>
      <c r="E39" s="8"/>
      <c r="F39" s="11">
        <f t="shared" si="0"/>
        <v>0</v>
      </c>
      <c r="G39" s="8"/>
      <c r="H39" s="11">
        <f t="shared" si="1"/>
        <v>0</v>
      </c>
      <c r="I39" s="8">
        <v>1</v>
      </c>
      <c r="J39" s="11">
        <f t="shared" si="2"/>
        <v>0</v>
      </c>
    </row>
    <row r="40" spans="1:10" ht="21" customHeight="1">
      <c r="A40" s="5"/>
      <c r="B40" s="5" t="s">
        <v>50</v>
      </c>
      <c r="C40" s="38"/>
      <c r="D40" s="5" t="s">
        <v>15</v>
      </c>
      <c r="E40" s="8"/>
      <c r="F40" s="11">
        <f t="shared" si="0"/>
        <v>0</v>
      </c>
      <c r="G40" s="8"/>
      <c r="H40" s="11">
        <f t="shared" si="1"/>
        <v>0</v>
      </c>
      <c r="I40" s="8">
        <v>50</v>
      </c>
      <c r="J40" s="11">
        <f t="shared" si="2"/>
        <v>0</v>
      </c>
    </row>
    <row r="41" spans="1:10" ht="21" customHeight="1">
      <c r="A41" s="5"/>
      <c r="B41" s="5" t="s">
        <v>51</v>
      </c>
      <c r="C41" s="38"/>
      <c r="D41" s="5" t="s">
        <v>15</v>
      </c>
      <c r="E41" s="8"/>
      <c r="F41" s="11">
        <f t="shared" si="0"/>
        <v>0</v>
      </c>
      <c r="G41" s="8"/>
      <c r="H41" s="11">
        <f t="shared" si="1"/>
        <v>0</v>
      </c>
      <c r="I41" s="8">
        <v>60</v>
      </c>
      <c r="J41" s="11">
        <f t="shared" si="2"/>
        <v>0</v>
      </c>
    </row>
    <row r="42" spans="1:10" ht="21" customHeight="1">
      <c r="A42" s="5"/>
      <c r="B42" s="298" t="s">
        <v>648</v>
      </c>
      <c r="C42" s="38"/>
      <c r="D42" s="5" t="s">
        <v>230</v>
      </c>
      <c r="E42" s="8"/>
      <c r="F42" s="11">
        <f t="shared" si="0"/>
        <v>0</v>
      </c>
      <c r="G42" s="8"/>
      <c r="H42" s="11">
        <f t="shared" si="1"/>
        <v>0</v>
      </c>
      <c r="I42" s="8">
        <v>800</v>
      </c>
      <c r="J42" s="11">
        <f t="shared" si="2"/>
        <v>0</v>
      </c>
    </row>
    <row r="43" spans="1:10" ht="21" customHeight="1" thickBot="1">
      <c r="A43" s="5"/>
      <c r="B43" s="5" t="s">
        <v>326</v>
      </c>
      <c r="C43" s="38"/>
      <c r="D43" s="5" t="s">
        <v>16</v>
      </c>
      <c r="E43" s="8"/>
      <c r="F43" s="11">
        <f t="shared" si="0"/>
        <v>0</v>
      </c>
      <c r="G43" s="8"/>
      <c r="H43" s="11">
        <f t="shared" si="1"/>
        <v>0</v>
      </c>
      <c r="I43" s="8">
        <v>1.2</v>
      </c>
      <c r="J43" s="11">
        <f t="shared" si="2"/>
        <v>0</v>
      </c>
    </row>
    <row r="44" spans="1:10" ht="21" customHeight="1" thickTop="1">
      <c r="A44" s="5"/>
      <c r="B44" s="5"/>
      <c r="C44" s="38"/>
      <c r="D44" s="5"/>
      <c r="E44" s="56"/>
      <c r="F44" s="57">
        <f>SUM(F38:F43)</f>
        <v>0</v>
      </c>
      <c r="G44" s="56"/>
      <c r="H44" s="57">
        <f>SUM(H38:H43)</f>
        <v>0</v>
      </c>
      <c r="I44" s="56"/>
      <c r="J44" s="57">
        <f>SUM(J38:J43)</f>
        <v>0</v>
      </c>
    </row>
    <row r="45" spans="1:10" ht="21" customHeight="1">
      <c r="A45" s="5"/>
      <c r="B45" s="237" t="s">
        <v>499</v>
      </c>
      <c r="C45" s="233">
        <f>SUM(F44,H44,J44)</f>
        <v>0</v>
      </c>
      <c r="D45" s="5"/>
      <c r="E45" s="8"/>
      <c r="F45" s="11"/>
      <c r="G45" s="8"/>
      <c r="H45" s="11"/>
      <c r="I45" s="8"/>
      <c r="J45" s="11"/>
    </row>
    <row r="46" spans="1:10" ht="21" customHeight="1">
      <c r="A46" s="21"/>
      <c r="B46" s="55"/>
      <c r="C46" s="58"/>
      <c r="D46" s="21"/>
      <c r="E46" s="22"/>
      <c r="F46" s="23"/>
      <c r="G46" s="22"/>
      <c r="H46" s="23"/>
      <c r="I46" s="22"/>
      <c r="J46" s="23"/>
    </row>
    <row r="47" spans="1:10" ht="21" customHeight="1">
      <c r="A47" s="21"/>
      <c r="B47" s="55"/>
      <c r="C47" s="58"/>
      <c r="D47" s="21"/>
      <c r="E47" s="22"/>
      <c r="F47" s="23"/>
      <c r="G47" s="22"/>
      <c r="H47" s="23"/>
      <c r="I47" s="22"/>
      <c r="J47" s="23"/>
    </row>
    <row r="48" spans="1:10" ht="21" customHeight="1">
      <c r="A48" s="5"/>
      <c r="B48" s="55"/>
      <c r="C48" s="54"/>
      <c r="D48" s="5"/>
      <c r="E48" s="8"/>
      <c r="F48" s="11"/>
      <c r="G48" s="8"/>
      <c r="H48" s="11"/>
      <c r="I48" s="8"/>
      <c r="J48" s="11"/>
    </row>
    <row r="49" spans="1:10" ht="21" customHeight="1">
      <c r="A49" s="21"/>
      <c r="B49" s="55"/>
      <c r="C49" s="58"/>
      <c r="D49" s="21"/>
      <c r="E49" s="22"/>
      <c r="F49" s="23"/>
      <c r="G49" s="22"/>
      <c r="H49" s="23"/>
      <c r="I49" s="22"/>
      <c r="J49" s="23"/>
    </row>
    <row r="50" spans="1:10" ht="21" customHeight="1">
      <c r="A50" s="6"/>
      <c r="B50" s="6"/>
      <c r="C50" s="43"/>
      <c r="D50" s="6"/>
      <c r="E50" s="9"/>
      <c r="F50" s="12"/>
      <c r="G50" s="9"/>
      <c r="H50" s="12"/>
      <c r="I50" s="9"/>
      <c r="J50" s="12"/>
    </row>
    <row r="51" spans="1:10" ht="12.75">
      <c r="A51" s="14"/>
      <c r="B51" s="14"/>
      <c r="C51" s="44"/>
      <c r="D51" s="14"/>
      <c r="E51" s="16"/>
      <c r="F51" s="15"/>
      <c r="G51" s="16"/>
      <c r="H51" s="15"/>
      <c r="I51" s="16"/>
      <c r="J51" s="15"/>
    </row>
    <row r="52" spans="1:10" ht="12.75">
      <c r="A52" s="14"/>
      <c r="B52" s="14"/>
      <c r="C52" s="44"/>
      <c r="D52" s="14"/>
      <c r="E52" s="16"/>
      <c r="F52" s="15"/>
      <c r="G52" s="16"/>
      <c r="H52" s="15"/>
      <c r="I52" s="16"/>
      <c r="J52" s="15"/>
    </row>
    <row r="53" spans="1:10" ht="12.75">
      <c r="A53" s="14"/>
      <c r="B53" s="14"/>
      <c r="C53" s="44"/>
      <c r="D53" s="14"/>
      <c r="E53" s="16"/>
      <c r="F53" s="15"/>
      <c r="G53" s="16"/>
      <c r="H53" s="15"/>
      <c r="I53" s="16"/>
      <c r="J53" s="15"/>
    </row>
    <row r="54" spans="1:10" ht="12.75">
      <c r="A54" s="14"/>
      <c r="B54" s="14"/>
      <c r="C54" s="44"/>
      <c r="D54" s="14"/>
      <c r="E54" s="16"/>
      <c r="F54" s="15"/>
      <c r="G54" s="16"/>
      <c r="H54" s="15"/>
      <c r="I54" s="16"/>
      <c r="J54" s="15"/>
    </row>
    <row r="55" spans="3:10" ht="12.75">
      <c r="C55" s="45"/>
      <c r="E55" s="16"/>
      <c r="F55" s="15"/>
      <c r="G55" s="16"/>
      <c r="H55" s="15"/>
      <c r="I55" s="16"/>
      <c r="J55" s="15"/>
    </row>
    <row r="56" spans="3:10" ht="12.75">
      <c r="C56" s="45"/>
      <c r="E56" s="16"/>
      <c r="F56" s="15"/>
      <c r="G56" s="16"/>
      <c r="H56" s="15"/>
      <c r="I56" s="16"/>
      <c r="J56" s="15"/>
    </row>
    <row r="57" spans="3:10" ht="12.75">
      <c r="C57" s="45"/>
      <c r="E57" s="16"/>
      <c r="F57" s="15"/>
      <c r="G57" s="16"/>
      <c r="H57" s="15"/>
      <c r="I57" s="16"/>
      <c r="J57" s="15"/>
    </row>
    <row r="58" spans="3:10" ht="12.75">
      <c r="C58" s="45"/>
      <c r="E58" s="16"/>
      <c r="F58" s="15"/>
      <c r="G58" s="16"/>
      <c r="H58" s="15"/>
      <c r="I58" s="16"/>
      <c r="J58" s="15"/>
    </row>
    <row r="59" spans="3:10" ht="12.75">
      <c r="C59" s="45"/>
      <c r="E59" s="16"/>
      <c r="F59" s="15"/>
      <c r="G59" s="16"/>
      <c r="H59" s="15"/>
      <c r="I59" s="16"/>
      <c r="J59" s="15"/>
    </row>
    <row r="60" spans="3:10" ht="12.75">
      <c r="C60" s="45"/>
      <c r="E60" s="16"/>
      <c r="F60" s="15"/>
      <c r="G60" s="16"/>
      <c r="H60" s="15"/>
      <c r="I60" s="16"/>
      <c r="J60" s="15"/>
    </row>
    <row r="61" spans="3:10" ht="12.75">
      <c r="C61" s="45"/>
      <c r="E61" s="16"/>
      <c r="F61" s="15"/>
      <c r="G61" s="16"/>
      <c r="H61" s="15"/>
      <c r="I61" s="16"/>
      <c r="J61" s="15"/>
    </row>
    <row r="62" spans="3:10" ht="12.75">
      <c r="C62" s="45"/>
      <c r="E62" s="16"/>
      <c r="F62" s="15"/>
      <c r="G62" s="16"/>
      <c r="H62" s="15"/>
      <c r="I62" s="16"/>
      <c r="J62" s="15"/>
    </row>
    <row r="63" spans="3:10" ht="12.75">
      <c r="C63" s="45"/>
      <c r="E63" s="16"/>
      <c r="F63" s="15"/>
      <c r="G63" s="16"/>
      <c r="H63" s="15"/>
      <c r="I63" s="16"/>
      <c r="J63" s="15"/>
    </row>
    <row r="64" spans="3:10" ht="12.75">
      <c r="C64" s="45"/>
      <c r="E64" s="16"/>
      <c r="F64" s="15"/>
      <c r="G64" s="16"/>
      <c r="H64" s="15"/>
      <c r="I64" s="16"/>
      <c r="J64" s="15"/>
    </row>
    <row r="65" spans="3:10" ht="12.75">
      <c r="C65" s="45"/>
      <c r="E65" s="16"/>
      <c r="F65" s="15"/>
      <c r="G65" s="16"/>
      <c r="H65" s="15"/>
      <c r="I65" s="16"/>
      <c r="J65" s="15"/>
    </row>
    <row r="66" spans="3:10" ht="12.75">
      <c r="C66" s="45"/>
      <c r="E66" s="16"/>
      <c r="F66" s="15"/>
      <c r="G66" s="16"/>
      <c r="H66" s="15"/>
      <c r="I66" s="16"/>
      <c r="J66" s="15"/>
    </row>
    <row r="67" spans="3:10" ht="12.75">
      <c r="C67" s="45"/>
      <c r="E67" s="16"/>
      <c r="F67" s="15"/>
      <c r="G67" s="16"/>
      <c r="H67" s="15"/>
      <c r="I67" s="16"/>
      <c r="J67" s="15"/>
    </row>
    <row r="68" spans="3:10" ht="12.75">
      <c r="C68" s="45"/>
      <c r="E68" s="16"/>
      <c r="F68" s="15"/>
      <c r="G68" s="16"/>
      <c r="H68" s="15"/>
      <c r="I68" s="16"/>
      <c r="J68" s="15"/>
    </row>
    <row r="69" spans="3:10" ht="12.75">
      <c r="C69" s="45"/>
      <c r="E69" s="16"/>
      <c r="F69" s="15"/>
      <c r="G69" s="16"/>
      <c r="H69" s="15"/>
      <c r="I69" s="16"/>
      <c r="J69" s="15"/>
    </row>
    <row r="70" spans="3:10" ht="12.75">
      <c r="C70" s="45"/>
      <c r="E70" s="16"/>
      <c r="F70" s="15"/>
      <c r="G70" s="16"/>
      <c r="H70" s="15"/>
      <c r="I70" s="16"/>
      <c r="J70" s="15"/>
    </row>
    <row r="71" spans="3:10" ht="12.75">
      <c r="C71" s="45"/>
      <c r="E71" s="16"/>
      <c r="F71" s="15"/>
      <c r="G71" s="16"/>
      <c r="H71" s="15"/>
      <c r="I71" s="16"/>
      <c r="J71" s="15"/>
    </row>
    <row r="72" spans="3:10" ht="12.75">
      <c r="C72" s="45"/>
      <c r="E72" s="16"/>
      <c r="F72" s="15"/>
      <c r="G72" s="16"/>
      <c r="H72" s="15"/>
      <c r="I72" s="16"/>
      <c r="J72" s="15"/>
    </row>
    <row r="73" spans="3:10" ht="12.75">
      <c r="C73" s="45"/>
      <c r="E73" s="16"/>
      <c r="F73" s="15"/>
      <c r="G73" s="16"/>
      <c r="H73" s="15"/>
      <c r="I73" s="16"/>
      <c r="J73" s="15"/>
    </row>
    <row r="74" spans="3:10" ht="12.75">
      <c r="C74" s="45"/>
      <c r="E74" s="16"/>
      <c r="F74" s="14"/>
      <c r="G74" s="16"/>
      <c r="H74" s="14"/>
      <c r="I74" s="16"/>
      <c r="J74" s="14"/>
    </row>
    <row r="75" spans="3:10" ht="12.75">
      <c r="C75" s="45"/>
      <c r="E75" s="16"/>
      <c r="F75" s="14"/>
      <c r="G75" s="16"/>
      <c r="H75" s="14"/>
      <c r="I75" s="16"/>
      <c r="J75" s="14"/>
    </row>
    <row r="76" ht="12.75">
      <c r="C76" s="45"/>
    </row>
    <row r="77" ht="12.75">
      <c r="C77" s="45"/>
    </row>
    <row r="78" ht="12.75">
      <c r="C78" s="45"/>
    </row>
    <row r="79" ht="12.75">
      <c r="C79" s="45"/>
    </row>
    <row r="80" ht="12.75">
      <c r="C80" s="45"/>
    </row>
    <row r="81" ht="12.75">
      <c r="C81" s="45"/>
    </row>
    <row r="82" ht="12.75">
      <c r="C82" s="45"/>
    </row>
    <row r="83" ht="12.75">
      <c r="C83" s="45"/>
    </row>
    <row r="84" ht="12.75">
      <c r="C84" s="45"/>
    </row>
    <row r="85" ht="12.75">
      <c r="C85" s="45"/>
    </row>
    <row r="86" ht="12.75">
      <c r="C86" s="45"/>
    </row>
    <row r="87" ht="12.75">
      <c r="C87" s="45"/>
    </row>
    <row r="88" ht="12.75">
      <c r="C88" s="45"/>
    </row>
    <row r="89" ht="12.75">
      <c r="C89" s="45"/>
    </row>
    <row r="90" ht="12.75">
      <c r="C90" s="45"/>
    </row>
    <row r="91" ht="12.75">
      <c r="C91" s="45"/>
    </row>
    <row r="92" ht="12.75">
      <c r="C92" s="45"/>
    </row>
    <row r="93" ht="12.75">
      <c r="C93" s="45"/>
    </row>
    <row r="94" ht="12.75">
      <c r="C94" s="45"/>
    </row>
    <row r="95" ht="12.75">
      <c r="C95" s="45"/>
    </row>
    <row r="96" ht="12.75">
      <c r="C96" s="45"/>
    </row>
    <row r="97" ht="12.75">
      <c r="C97" s="45"/>
    </row>
    <row r="98" ht="12.75">
      <c r="C98" s="45"/>
    </row>
    <row r="99" ht="12.75">
      <c r="C99" s="45"/>
    </row>
    <row r="100" ht="12.75">
      <c r="C100" s="45"/>
    </row>
    <row r="101" ht="12.75">
      <c r="C101" s="45"/>
    </row>
    <row r="102" ht="12.75">
      <c r="C102" s="45"/>
    </row>
    <row r="103" ht="12.75">
      <c r="C103" s="45"/>
    </row>
    <row r="104" ht="12.75">
      <c r="C104" s="45"/>
    </row>
    <row r="105" ht="12.75">
      <c r="C105" s="45"/>
    </row>
    <row r="106" ht="12.75">
      <c r="C106" s="45"/>
    </row>
    <row r="107" ht="12.75">
      <c r="C107" s="45"/>
    </row>
    <row r="108" ht="12.75">
      <c r="C108" s="45"/>
    </row>
    <row r="109" ht="12.75">
      <c r="C109" s="45"/>
    </row>
    <row r="110" ht="12.75">
      <c r="C110" s="45"/>
    </row>
    <row r="111" ht="12.75">
      <c r="C111" s="45"/>
    </row>
  </sheetData>
  <sheetProtection/>
  <mergeCells count="1">
    <mergeCell ref="F2:G2"/>
  </mergeCells>
  <printOptions/>
  <pageMargins left="0.25" right="0" top="1" bottom="0" header="0.5" footer="0"/>
  <pageSetup horizontalDpi="300" verticalDpi="300" orientation="landscape" r:id="rId1"/>
  <headerFooter alignWithMargins="0">
    <oddHeader>&amp;RPage &amp;P of 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J102"/>
  <sheetViews>
    <sheetView zoomScalePageLayoutView="0" workbookViewId="0" topLeftCell="A1">
      <pane ySplit="6" topLeftCell="A90" activePane="bottomLeft" state="frozen"/>
      <selection pane="topLeft" activeCell="A1" sqref="A1"/>
      <selection pane="bottomLeft" activeCell="E98" sqref="E98"/>
    </sheetView>
  </sheetViews>
  <sheetFormatPr defaultColWidth="8.8515625" defaultRowHeight="12.75"/>
  <cols>
    <col min="1" max="1" width="9.57421875" style="45" bestFit="1" customWidth="1"/>
    <col min="2" max="2" width="44.7109375" style="45" bestFit="1" customWidth="1"/>
    <col min="3" max="3" width="10.28125" style="45" customWidth="1"/>
    <col min="4" max="4" width="9.140625" style="45" bestFit="1" customWidth="1"/>
    <col min="5" max="5" width="7.28125" style="136" customWidth="1"/>
    <col min="6" max="6" width="9.28125" style="45" customWidth="1"/>
    <col min="7" max="7" width="7.57421875" style="136" customWidth="1"/>
    <col min="8" max="8" width="14.00390625" style="45" bestFit="1" customWidth="1"/>
    <col min="9" max="9" width="8.140625" style="136" customWidth="1"/>
    <col min="10" max="10" width="10.28125" style="45" customWidth="1"/>
    <col min="11" max="16384" width="8.8515625" style="45" customWidth="1"/>
  </cols>
  <sheetData>
    <row r="1" spans="1:9" ht="12.75">
      <c r="A1" s="166" t="s">
        <v>446</v>
      </c>
      <c r="B1" s="195">
        <f>Spread!B1</f>
        <v>0</v>
      </c>
      <c r="C1" s="165" t="s">
        <v>370</v>
      </c>
      <c r="D1" s="196" t="e">
        <f>Spread!#REF!</f>
        <v>#REF!</v>
      </c>
      <c r="E1"/>
      <c r="F1" s="165" t="s">
        <v>371</v>
      </c>
      <c r="G1" s="51"/>
      <c r="H1" s="170" t="e">
        <f>Spread!#REF!</f>
        <v>#REF!</v>
      </c>
      <c r="I1" s="45"/>
    </row>
    <row r="2" spans="1:9" ht="12.75">
      <c r="A2" s="166"/>
      <c r="B2" s="195" t="e">
        <f>Spread!#REF!</f>
        <v>#REF!</v>
      </c>
      <c r="C2" s="51"/>
      <c r="D2" s="51"/>
      <c r="E2"/>
      <c r="F2" s="476" t="s">
        <v>447</v>
      </c>
      <c r="G2" s="476"/>
      <c r="H2" s="197" t="e">
        <f>Spread!#REF!</f>
        <v>#REF!</v>
      </c>
      <c r="I2" s="45"/>
    </row>
    <row r="3" spans="1:9" ht="12.75" customHeight="1">
      <c r="A3" s="168"/>
      <c r="B3" s="195">
        <f>Spread!B3</f>
        <v>0</v>
      </c>
      <c r="C3" s="165" t="s">
        <v>445</v>
      </c>
      <c r="D3" s="51" t="e">
        <f>Spread!#REF!</f>
        <v>#REF!</v>
      </c>
      <c r="E3" s="51"/>
      <c r="F3" s="51"/>
      <c r="G3" s="51"/>
      <c r="H3" s="51"/>
      <c r="I3" s="118"/>
    </row>
    <row r="4" spans="2:9" ht="12" customHeight="1">
      <c r="B4" s="119"/>
      <c r="E4" s="45"/>
      <c r="G4" s="45"/>
      <c r="I4" s="45"/>
    </row>
    <row r="5" spans="1:10" ht="12.75" customHeight="1">
      <c r="A5" s="120" t="s">
        <v>7</v>
      </c>
      <c r="B5" s="120" t="s">
        <v>0</v>
      </c>
      <c r="C5" s="120" t="s">
        <v>8</v>
      </c>
      <c r="D5" s="120" t="s">
        <v>9</v>
      </c>
      <c r="E5" s="121" t="s">
        <v>2</v>
      </c>
      <c r="F5" s="122"/>
      <c r="G5" s="121" t="s">
        <v>1</v>
      </c>
      <c r="H5" s="122"/>
      <c r="I5" s="121" t="s">
        <v>10</v>
      </c>
      <c r="J5" s="122"/>
    </row>
    <row r="6" spans="1:10" ht="12.75" customHeight="1" thickBot="1">
      <c r="A6" s="123"/>
      <c r="B6" s="123"/>
      <c r="C6" s="123"/>
      <c r="D6" s="123"/>
      <c r="E6" s="124" t="s">
        <v>11</v>
      </c>
      <c r="F6" s="123" t="s">
        <v>12</v>
      </c>
      <c r="G6" s="124" t="s">
        <v>11</v>
      </c>
      <c r="H6" s="123" t="s">
        <v>12</v>
      </c>
      <c r="I6" s="124" t="s">
        <v>13</v>
      </c>
      <c r="J6" s="123" t="s">
        <v>12</v>
      </c>
    </row>
    <row r="7" spans="1:10" ht="21" customHeight="1" thickTop="1">
      <c r="A7" s="41"/>
      <c r="B7" s="251" t="s">
        <v>601</v>
      </c>
      <c r="C7" s="41"/>
      <c r="D7" s="41"/>
      <c r="E7" s="126"/>
      <c r="F7" s="127"/>
      <c r="G7" s="126"/>
      <c r="H7" s="127"/>
      <c r="I7" s="126"/>
      <c r="J7" s="127"/>
    </row>
    <row r="8" spans="1:10" ht="21" customHeight="1">
      <c r="A8" s="38"/>
      <c r="B8" s="100" t="s">
        <v>605</v>
      </c>
      <c r="C8" s="38"/>
      <c r="D8" s="38" t="s">
        <v>15</v>
      </c>
      <c r="E8" s="46"/>
      <c r="F8" s="40">
        <f>C8*E8</f>
        <v>0</v>
      </c>
      <c r="G8" s="46"/>
      <c r="H8" s="40">
        <f>C8*G8</f>
        <v>0</v>
      </c>
      <c r="I8" s="46">
        <v>750</v>
      </c>
      <c r="J8" s="40">
        <f>C8*I8</f>
        <v>0</v>
      </c>
    </row>
    <row r="9" spans="1:10" ht="21" customHeight="1">
      <c r="A9" s="38"/>
      <c r="B9" s="100" t="s">
        <v>606</v>
      </c>
      <c r="C9" s="38"/>
      <c r="D9" s="38" t="s">
        <v>15</v>
      </c>
      <c r="E9" s="46"/>
      <c r="F9" s="40">
        <f>C9*E9</f>
        <v>0</v>
      </c>
      <c r="G9" s="46"/>
      <c r="H9" s="40">
        <f>C9*G9</f>
        <v>0</v>
      </c>
      <c r="I9" s="46">
        <v>900</v>
      </c>
      <c r="J9" s="40">
        <f>C9*I9</f>
        <v>0</v>
      </c>
    </row>
    <row r="10" spans="1:10" ht="21" customHeight="1" thickBot="1">
      <c r="A10" s="38"/>
      <c r="B10" s="100" t="s">
        <v>607</v>
      </c>
      <c r="C10" s="38"/>
      <c r="D10" s="38" t="s">
        <v>15</v>
      </c>
      <c r="E10" s="46"/>
      <c r="F10" s="40">
        <f>C10*E10</f>
        <v>0</v>
      </c>
      <c r="G10" s="46"/>
      <c r="H10" s="40">
        <f>C10*G10</f>
        <v>0</v>
      </c>
      <c r="I10" s="46">
        <v>200</v>
      </c>
      <c r="J10" s="40">
        <f>C10*I10</f>
        <v>0</v>
      </c>
    </row>
    <row r="11" spans="1:10" ht="21" customHeight="1" thickTop="1">
      <c r="A11" s="38"/>
      <c r="B11" s="85"/>
      <c r="C11" s="38"/>
      <c r="D11" s="38"/>
      <c r="E11" s="90"/>
      <c r="F11" s="104">
        <f>SUM(F8:F10)</f>
        <v>0</v>
      </c>
      <c r="G11" s="90"/>
      <c r="H11" s="104">
        <f>SUM(H8:H10)</f>
        <v>0</v>
      </c>
      <c r="I11" s="90"/>
      <c r="J11" s="104">
        <f>SUM(J8:J10)</f>
        <v>0</v>
      </c>
    </row>
    <row r="12" spans="1:10" ht="21" customHeight="1">
      <c r="A12" s="38"/>
      <c r="B12" s="231" t="s">
        <v>500</v>
      </c>
      <c r="C12" s="233">
        <f>SUM(F11,H11,J11)</f>
        <v>0</v>
      </c>
      <c r="D12" s="38"/>
      <c r="E12" s="46"/>
      <c r="F12" s="40"/>
      <c r="G12" s="46"/>
      <c r="H12" s="40"/>
      <c r="I12" s="46"/>
      <c r="J12" s="40"/>
    </row>
    <row r="13" spans="1:10" ht="12" customHeight="1">
      <c r="A13" s="38"/>
      <c r="B13" s="38"/>
      <c r="C13" s="38"/>
      <c r="D13" s="38"/>
      <c r="E13" s="46"/>
      <c r="F13" s="40"/>
      <c r="G13" s="46"/>
      <c r="H13" s="40"/>
      <c r="I13" s="46"/>
      <c r="J13" s="40"/>
    </row>
    <row r="14" spans="1:10" ht="21" customHeight="1">
      <c r="A14" s="38"/>
      <c r="B14" s="105" t="s">
        <v>270</v>
      </c>
      <c r="C14" s="38"/>
      <c r="D14" s="38"/>
      <c r="E14" s="46"/>
      <c r="F14" s="40"/>
      <c r="G14" s="46"/>
      <c r="H14" s="40"/>
      <c r="I14" s="46"/>
      <c r="J14" s="40"/>
    </row>
    <row r="15" spans="1:10" ht="21" customHeight="1">
      <c r="A15" s="38"/>
      <c r="B15" s="106" t="s">
        <v>352</v>
      </c>
      <c r="C15" s="38"/>
      <c r="D15" s="38" t="s">
        <v>15</v>
      </c>
      <c r="E15" s="46">
        <v>25</v>
      </c>
      <c r="F15" s="40">
        <f>C15*E15</f>
        <v>0</v>
      </c>
      <c r="G15" s="46">
        <v>65</v>
      </c>
      <c r="H15" s="40">
        <f>C15*G15</f>
        <v>0</v>
      </c>
      <c r="I15" s="46"/>
      <c r="J15" s="40">
        <f>C15*I15</f>
        <v>0</v>
      </c>
    </row>
    <row r="16" spans="1:10" ht="21" customHeight="1">
      <c r="A16" s="38"/>
      <c r="B16" s="106" t="s">
        <v>353</v>
      </c>
      <c r="C16" s="38"/>
      <c r="D16" s="38" t="s">
        <v>15</v>
      </c>
      <c r="E16" s="46">
        <v>16</v>
      </c>
      <c r="F16" s="40">
        <f>C16*E16</f>
        <v>0</v>
      </c>
      <c r="G16" s="46">
        <v>65</v>
      </c>
      <c r="H16" s="40">
        <f>C16*G16</f>
        <v>0</v>
      </c>
      <c r="I16" s="46"/>
      <c r="J16" s="40">
        <f>C16*I16</f>
        <v>0</v>
      </c>
    </row>
    <row r="17" spans="1:10" ht="21" customHeight="1">
      <c r="A17" s="38"/>
      <c r="B17" s="106" t="s">
        <v>339</v>
      </c>
      <c r="C17" s="38"/>
      <c r="D17" s="38" t="s">
        <v>15</v>
      </c>
      <c r="E17" s="46">
        <v>16</v>
      </c>
      <c r="F17" s="40">
        <f>C17*E17</f>
        <v>0</v>
      </c>
      <c r="G17" s="46">
        <v>65</v>
      </c>
      <c r="H17" s="40">
        <f aca="true" t="shared" si="0" ref="H17:H25">C17*G17</f>
        <v>0</v>
      </c>
      <c r="I17" s="46"/>
      <c r="J17" s="40">
        <f aca="true" t="shared" si="1" ref="J17:J25">C17*I17</f>
        <v>0</v>
      </c>
    </row>
    <row r="18" spans="1:10" ht="21" customHeight="1">
      <c r="A18" s="38"/>
      <c r="B18" s="106" t="s">
        <v>340</v>
      </c>
      <c r="C18" s="38"/>
      <c r="D18" s="38" t="s">
        <v>15</v>
      </c>
      <c r="E18" s="46">
        <v>50</v>
      </c>
      <c r="F18" s="40">
        <f aca="true" t="shared" si="2" ref="F18:F25">C18*E18</f>
        <v>0</v>
      </c>
      <c r="G18" s="46">
        <v>65</v>
      </c>
      <c r="H18" s="40">
        <f t="shared" si="0"/>
        <v>0</v>
      </c>
      <c r="I18" s="46"/>
      <c r="J18" s="40">
        <f t="shared" si="1"/>
        <v>0</v>
      </c>
    </row>
    <row r="19" spans="1:10" ht="21" customHeight="1">
      <c r="A19" s="38"/>
      <c r="B19" s="106" t="s">
        <v>341</v>
      </c>
      <c r="C19" s="38"/>
      <c r="D19" s="38" t="s">
        <v>15</v>
      </c>
      <c r="E19" s="46">
        <v>50</v>
      </c>
      <c r="F19" s="40">
        <f t="shared" si="2"/>
        <v>0</v>
      </c>
      <c r="G19" s="46">
        <v>65</v>
      </c>
      <c r="H19" s="40">
        <f t="shared" si="0"/>
        <v>0</v>
      </c>
      <c r="I19" s="46"/>
      <c r="J19" s="40">
        <f t="shared" si="1"/>
        <v>0</v>
      </c>
    </row>
    <row r="20" spans="1:10" ht="21" customHeight="1">
      <c r="A20" s="38"/>
      <c r="B20" s="106" t="s">
        <v>342</v>
      </c>
      <c r="C20" s="38"/>
      <c r="D20" s="38" t="s">
        <v>15</v>
      </c>
      <c r="E20" s="46">
        <v>50</v>
      </c>
      <c r="F20" s="40">
        <f t="shared" si="2"/>
        <v>0</v>
      </c>
      <c r="G20" s="46">
        <v>65</v>
      </c>
      <c r="H20" s="40">
        <f t="shared" si="0"/>
        <v>0</v>
      </c>
      <c r="I20" s="46"/>
      <c r="J20" s="40">
        <f t="shared" si="1"/>
        <v>0</v>
      </c>
    </row>
    <row r="21" spans="1:10" ht="21" customHeight="1">
      <c r="A21" s="38"/>
      <c r="B21" s="106" t="s">
        <v>343</v>
      </c>
      <c r="C21" s="38"/>
      <c r="D21" s="38" t="s">
        <v>15</v>
      </c>
      <c r="E21" s="46">
        <v>50</v>
      </c>
      <c r="F21" s="40">
        <f>C21*E21</f>
        <v>0</v>
      </c>
      <c r="G21" s="46">
        <v>65</v>
      </c>
      <c r="H21" s="40">
        <f>C21*G21</f>
        <v>0</v>
      </c>
      <c r="I21" s="46"/>
      <c r="J21" s="40">
        <f>C21*I21</f>
        <v>0</v>
      </c>
    </row>
    <row r="22" spans="1:10" ht="21" customHeight="1">
      <c r="A22" s="38"/>
      <c r="B22" s="106" t="s">
        <v>344</v>
      </c>
      <c r="C22" s="38"/>
      <c r="D22" s="38" t="s">
        <v>15</v>
      </c>
      <c r="E22" s="46">
        <v>16</v>
      </c>
      <c r="F22" s="40">
        <f>C22*E22</f>
        <v>0</v>
      </c>
      <c r="G22" s="46">
        <v>65</v>
      </c>
      <c r="H22" s="40">
        <f>C22*G22</f>
        <v>0</v>
      </c>
      <c r="I22" s="46"/>
      <c r="J22" s="40">
        <f>C22*I22</f>
        <v>0</v>
      </c>
    </row>
    <row r="23" spans="1:10" ht="21" customHeight="1">
      <c r="A23" s="38"/>
      <c r="B23" s="106" t="s">
        <v>345</v>
      </c>
      <c r="C23" s="38"/>
      <c r="D23" s="38" t="s">
        <v>15</v>
      </c>
      <c r="E23" s="46">
        <v>50</v>
      </c>
      <c r="F23" s="40">
        <f>C23*E23</f>
        <v>0</v>
      </c>
      <c r="G23" s="46">
        <v>65</v>
      </c>
      <c r="H23" s="40">
        <f>C23*G23</f>
        <v>0</v>
      </c>
      <c r="I23" s="46"/>
      <c r="J23" s="40">
        <f>C23*I23</f>
        <v>0</v>
      </c>
    </row>
    <row r="24" spans="1:10" ht="21" customHeight="1">
      <c r="A24" s="38"/>
      <c r="B24" s="106" t="s">
        <v>346</v>
      </c>
      <c r="C24" s="38"/>
      <c r="D24" s="38" t="s">
        <v>15</v>
      </c>
      <c r="E24" s="46">
        <v>50</v>
      </c>
      <c r="F24" s="40">
        <f>C24*E24</f>
        <v>0</v>
      </c>
      <c r="G24" s="46">
        <v>65</v>
      </c>
      <c r="H24" s="40">
        <f>C24*G24</f>
        <v>0</v>
      </c>
      <c r="I24" s="46"/>
      <c r="J24" s="40">
        <f>C24*I24</f>
        <v>0</v>
      </c>
    </row>
    <row r="25" spans="1:10" ht="21" customHeight="1">
      <c r="A25" s="38"/>
      <c r="B25" s="106" t="s">
        <v>347</v>
      </c>
      <c r="C25" s="38"/>
      <c r="D25" s="38" t="s">
        <v>15</v>
      </c>
      <c r="E25" s="46">
        <v>50</v>
      </c>
      <c r="F25" s="40">
        <f t="shared" si="2"/>
        <v>0</v>
      </c>
      <c r="G25" s="46">
        <v>65</v>
      </c>
      <c r="H25" s="40">
        <f t="shared" si="0"/>
        <v>0</v>
      </c>
      <c r="I25" s="46"/>
      <c r="J25" s="40">
        <f t="shared" si="1"/>
        <v>0</v>
      </c>
    </row>
    <row r="26" spans="1:10" ht="21" customHeight="1">
      <c r="A26" s="38"/>
      <c r="B26" s="106" t="s">
        <v>348</v>
      </c>
      <c r="C26" s="38"/>
      <c r="D26" s="38" t="s">
        <v>15</v>
      </c>
      <c r="E26" s="46">
        <v>75</v>
      </c>
      <c r="F26" s="40">
        <f>C26*E26</f>
        <v>0</v>
      </c>
      <c r="G26" s="46">
        <v>65</v>
      </c>
      <c r="H26" s="40">
        <f>C26*G26</f>
        <v>0</v>
      </c>
      <c r="I26" s="46"/>
      <c r="J26" s="40">
        <f>C26*I26</f>
        <v>0</v>
      </c>
    </row>
    <row r="27" spans="1:10" ht="21" customHeight="1">
      <c r="A27" s="38"/>
      <c r="B27" s="106" t="s">
        <v>349</v>
      </c>
      <c r="C27" s="38"/>
      <c r="D27" s="38" t="s">
        <v>15</v>
      </c>
      <c r="E27" s="46">
        <v>12</v>
      </c>
      <c r="F27" s="40">
        <f>C27*E27</f>
        <v>0</v>
      </c>
      <c r="G27" s="46">
        <v>65</v>
      </c>
      <c r="H27" s="40">
        <f>C27*G27</f>
        <v>0</v>
      </c>
      <c r="I27" s="46"/>
      <c r="J27" s="40">
        <f>C27*I27</f>
        <v>0</v>
      </c>
    </row>
    <row r="28" spans="1:10" ht="21" customHeight="1">
      <c r="A28" s="38"/>
      <c r="B28" s="106" t="s">
        <v>350</v>
      </c>
      <c r="C28" s="38"/>
      <c r="D28" s="38" t="s">
        <v>15</v>
      </c>
      <c r="E28" s="46">
        <v>50</v>
      </c>
      <c r="F28" s="40">
        <f>C28*E28</f>
        <v>0</v>
      </c>
      <c r="G28" s="46">
        <v>65</v>
      </c>
      <c r="H28" s="40">
        <f>C28*G28</f>
        <v>0</v>
      </c>
      <c r="I28" s="46"/>
      <c r="J28" s="40">
        <f>C28*I28</f>
        <v>0</v>
      </c>
    </row>
    <row r="29" spans="1:10" ht="21" customHeight="1" thickBot="1">
      <c r="A29" s="38"/>
      <c r="B29" s="106" t="s">
        <v>351</v>
      </c>
      <c r="C29" s="38"/>
      <c r="D29" s="38" t="s">
        <v>15</v>
      </c>
      <c r="E29" s="46">
        <v>75</v>
      </c>
      <c r="F29" s="40">
        <f>C29*E29</f>
        <v>0</v>
      </c>
      <c r="G29" s="46">
        <v>65</v>
      </c>
      <c r="H29" s="40">
        <f>C29*G29</f>
        <v>0</v>
      </c>
      <c r="I29" s="46"/>
      <c r="J29" s="40">
        <f>C29*I29</f>
        <v>0</v>
      </c>
    </row>
    <row r="30" spans="1:10" ht="21" customHeight="1" thickTop="1">
      <c r="A30" s="38"/>
      <c r="B30" s="89"/>
      <c r="C30" s="38"/>
      <c r="D30" s="38"/>
      <c r="E30" s="90"/>
      <c r="F30" s="104">
        <f>SUM(F15:F29)</f>
        <v>0</v>
      </c>
      <c r="G30" s="90"/>
      <c r="H30" s="104">
        <f>SUM(H15:H29)</f>
        <v>0</v>
      </c>
      <c r="I30" s="90"/>
      <c r="J30" s="104">
        <f>SUM(J15:J29)</f>
        <v>0</v>
      </c>
    </row>
    <row r="31" spans="1:10" ht="21" customHeight="1">
      <c r="A31" s="38"/>
      <c r="B31" s="239" t="s">
        <v>501</v>
      </c>
      <c r="C31" s="232">
        <f>SUM(F30,H30,J30)</f>
        <v>0</v>
      </c>
      <c r="D31" s="38"/>
      <c r="E31" s="46"/>
      <c r="F31" s="40"/>
      <c r="G31" s="46"/>
      <c r="H31" s="40"/>
      <c r="I31" s="46"/>
      <c r="J31" s="40"/>
    </row>
    <row r="32" spans="1:10" ht="12" customHeight="1">
      <c r="A32" s="89"/>
      <c r="B32" s="131"/>
      <c r="C32" s="76"/>
      <c r="D32" s="89"/>
      <c r="E32" s="102"/>
      <c r="F32" s="103"/>
      <c r="G32" s="102"/>
      <c r="H32" s="103"/>
      <c r="I32" s="102"/>
      <c r="J32" s="103"/>
    </row>
    <row r="33" spans="1:10" ht="21" customHeight="1">
      <c r="A33" s="89"/>
      <c r="B33" s="110" t="s">
        <v>391</v>
      </c>
      <c r="C33" s="38"/>
      <c r="D33" s="38"/>
      <c r="E33" s="46"/>
      <c r="F33" s="40"/>
      <c r="G33" s="46"/>
      <c r="H33" s="40"/>
      <c r="I33" s="46"/>
      <c r="J33" s="40"/>
    </row>
    <row r="34" spans="1:10" ht="21" customHeight="1">
      <c r="A34" s="89"/>
      <c r="B34" s="38"/>
      <c r="C34" s="38"/>
      <c r="D34" s="38" t="s">
        <v>16</v>
      </c>
      <c r="E34" s="46">
        <v>3</v>
      </c>
      <c r="F34" s="40">
        <f>C34*E34</f>
        <v>0</v>
      </c>
      <c r="G34" s="46">
        <v>12</v>
      </c>
      <c r="H34" s="40">
        <f>C34*G34</f>
        <v>0</v>
      </c>
      <c r="I34" s="46"/>
      <c r="J34" s="40">
        <f>C34*I34</f>
        <v>0</v>
      </c>
    </row>
    <row r="35" spans="1:10" ht="21" customHeight="1" thickBot="1">
      <c r="A35" s="89"/>
      <c r="B35" s="38"/>
      <c r="C35" s="38"/>
      <c r="D35" s="38" t="s">
        <v>16</v>
      </c>
      <c r="E35" s="46">
        <v>3</v>
      </c>
      <c r="F35" s="40">
        <f>C35*E35</f>
        <v>0</v>
      </c>
      <c r="G35" s="46">
        <v>12</v>
      </c>
      <c r="H35" s="40">
        <f>C35*G35</f>
        <v>0</v>
      </c>
      <c r="I35" s="46"/>
      <c r="J35" s="40">
        <f>C35*I35</f>
        <v>0</v>
      </c>
    </row>
    <row r="36" spans="1:10" ht="21" customHeight="1" thickTop="1">
      <c r="A36" s="89"/>
      <c r="B36" s="85"/>
      <c r="C36" s="38"/>
      <c r="D36" s="38"/>
      <c r="E36" s="90"/>
      <c r="F36" s="104">
        <f>SUM(F34:F35)</f>
        <v>0</v>
      </c>
      <c r="G36" s="90"/>
      <c r="H36" s="104">
        <f>SUM(H34:H35)</f>
        <v>0</v>
      </c>
      <c r="I36" s="90"/>
      <c r="J36" s="104">
        <f>SUM(J34:J35)</f>
        <v>0</v>
      </c>
    </row>
    <row r="37" spans="1:10" ht="21" customHeight="1">
      <c r="A37" s="89"/>
      <c r="B37" s="231" t="s">
        <v>502</v>
      </c>
      <c r="C37" s="233">
        <f>SUM(F36,H36,J36)</f>
        <v>0</v>
      </c>
      <c r="D37" s="38"/>
      <c r="E37" s="46"/>
      <c r="F37" s="40"/>
      <c r="G37" s="46"/>
      <c r="H37" s="40"/>
      <c r="I37" s="46"/>
      <c r="J37" s="40"/>
    </row>
    <row r="38" spans="1:10" ht="12" customHeight="1">
      <c r="A38" s="89"/>
      <c r="B38" s="131"/>
      <c r="C38" s="76"/>
      <c r="D38" s="89"/>
      <c r="E38" s="102"/>
      <c r="F38" s="103"/>
      <c r="G38" s="102"/>
      <c r="H38" s="103"/>
      <c r="I38" s="102"/>
      <c r="J38" s="103"/>
    </row>
    <row r="39" spans="1:10" ht="21" customHeight="1">
      <c r="A39" s="89"/>
      <c r="B39" s="110" t="s">
        <v>276</v>
      </c>
      <c r="C39" s="38"/>
      <c r="D39" s="38"/>
      <c r="E39" s="46"/>
      <c r="F39" s="40"/>
      <c r="G39" s="46"/>
      <c r="H39" s="40"/>
      <c r="I39" s="46"/>
      <c r="J39" s="40"/>
    </row>
    <row r="40" spans="1:10" ht="21" customHeight="1" thickBot="1">
      <c r="A40" s="89"/>
      <c r="B40" s="38" t="s">
        <v>335</v>
      </c>
      <c r="C40" s="38"/>
      <c r="D40" s="38" t="s">
        <v>16</v>
      </c>
      <c r="E40" s="46">
        <v>6</v>
      </c>
      <c r="F40" s="40">
        <f>C40*E40</f>
        <v>0</v>
      </c>
      <c r="G40" s="46">
        <v>20</v>
      </c>
      <c r="H40" s="40">
        <f>C40*G40</f>
        <v>0</v>
      </c>
      <c r="I40" s="46"/>
      <c r="J40" s="40">
        <f>C40*I40</f>
        <v>0</v>
      </c>
    </row>
    <row r="41" spans="1:10" ht="21" customHeight="1" thickTop="1">
      <c r="A41" s="89"/>
      <c r="B41" s="85"/>
      <c r="C41" s="38"/>
      <c r="D41" s="38"/>
      <c r="E41" s="90"/>
      <c r="F41" s="104">
        <f>SUM(F40:F40)</f>
        <v>0</v>
      </c>
      <c r="G41" s="90"/>
      <c r="H41" s="104">
        <f>SUM(H40:H40)</f>
        <v>0</v>
      </c>
      <c r="I41" s="90"/>
      <c r="J41" s="104">
        <f>SUM(J40:J40)</f>
        <v>0</v>
      </c>
    </row>
    <row r="42" spans="1:10" ht="21" customHeight="1">
      <c r="A42" s="89"/>
      <c r="B42" s="231" t="s">
        <v>503</v>
      </c>
      <c r="C42" s="233">
        <f>SUM(F41,H41,J41)</f>
        <v>0</v>
      </c>
      <c r="D42" s="38"/>
      <c r="E42" s="46"/>
      <c r="F42" s="40"/>
      <c r="G42" s="46"/>
      <c r="H42" s="40"/>
      <c r="I42" s="46"/>
      <c r="J42" s="40"/>
    </row>
    <row r="43" spans="1:10" ht="12" customHeight="1">
      <c r="A43" s="89"/>
      <c r="B43" s="131"/>
      <c r="C43" s="76"/>
      <c r="D43" s="89"/>
      <c r="E43" s="102"/>
      <c r="F43" s="103"/>
      <c r="G43" s="102"/>
      <c r="H43" s="103"/>
      <c r="I43" s="102"/>
      <c r="J43" s="103"/>
    </row>
    <row r="44" spans="1:10" ht="21" customHeight="1">
      <c r="A44" s="38"/>
      <c r="B44" s="110" t="s">
        <v>144</v>
      </c>
      <c r="C44" s="38"/>
      <c r="D44" s="38"/>
      <c r="E44" s="46"/>
      <c r="F44" s="40"/>
      <c r="G44" s="46"/>
      <c r="H44" s="40"/>
      <c r="I44" s="46"/>
      <c r="J44" s="40"/>
    </row>
    <row r="45" spans="1:10" ht="21" customHeight="1">
      <c r="A45" s="38"/>
      <c r="B45" s="38" t="s">
        <v>187</v>
      </c>
      <c r="C45" s="38"/>
      <c r="D45" s="38" t="s">
        <v>16</v>
      </c>
      <c r="E45" s="46">
        <v>4</v>
      </c>
      <c r="F45" s="40">
        <f>C45*E45</f>
        <v>0</v>
      </c>
      <c r="G45" s="46">
        <v>15</v>
      </c>
      <c r="H45" s="40">
        <f>C45*G45</f>
        <v>0</v>
      </c>
      <c r="I45" s="46"/>
      <c r="J45" s="40">
        <f>C45*I45</f>
        <v>0</v>
      </c>
    </row>
    <row r="46" spans="1:10" ht="21" customHeight="1">
      <c r="A46" s="38"/>
      <c r="B46" s="38" t="s">
        <v>145</v>
      </c>
      <c r="C46" s="38"/>
      <c r="D46" s="100" t="s">
        <v>15</v>
      </c>
      <c r="E46" s="46">
        <v>24</v>
      </c>
      <c r="F46" s="40">
        <f>C46*E46</f>
        <v>0</v>
      </c>
      <c r="G46" s="46">
        <v>75</v>
      </c>
      <c r="H46" s="40">
        <f>C46*G46</f>
        <v>0</v>
      </c>
      <c r="I46" s="46"/>
      <c r="J46" s="40">
        <f>C46*I46</f>
        <v>0</v>
      </c>
    </row>
    <row r="47" spans="1:10" ht="21" customHeight="1" thickBot="1">
      <c r="A47" s="38"/>
      <c r="B47" s="38" t="s">
        <v>146</v>
      </c>
      <c r="C47" s="38"/>
      <c r="D47" s="100" t="s">
        <v>15</v>
      </c>
      <c r="E47" s="46">
        <v>30</v>
      </c>
      <c r="F47" s="40">
        <f>C47*E47</f>
        <v>0</v>
      </c>
      <c r="G47" s="46">
        <v>125</v>
      </c>
      <c r="H47" s="40">
        <f>C47*G47</f>
        <v>0</v>
      </c>
      <c r="I47" s="46"/>
      <c r="J47" s="40">
        <f>C47*I47</f>
        <v>0</v>
      </c>
    </row>
    <row r="48" spans="1:10" ht="21" customHeight="1" thickTop="1">
      <c r="A48" s="38"/>
      <c r="B48" s="85"/>
      <c r="C48" s="38"/>
      <c r="D48" s="38"/>
      <c r="E48" s="90"/>
      <c r="F48" s="104">
        <f>SUM(F45:F47)</f>
        <v>0</v>
      </c>
      <c r="G48" s="90"/>
      <c r="H48" s="104">
        <f>SUM(H45:H47)</f>
        <v>0</v>
      </c>
      <c r="I48" s="90"/>
      <c r="J48" s="104">
        <f>SUM(J45:J47)</f>
        <v>0</v>
      </c>
    </row>
    <row r="49" spans="1:10" ht="21" customHeight="1">
      <c r="A49" s="38"/>
      <c r="B49" s="231" t="s">
        <v>504</v>
      </c>
      <c r="C49" s="233">
        <f>SUM(F48,H48,J48)</f>
        <v>0</v>
      </c>
      <c r="D49" s="38"/>
      <c r="E49" s="46"/>
      <c r="F49" s="40"/>
      <c r="G49" s="46"/>
      <c r="H49" s="40"/>
      <c r="I49" s="46"/>
      <c r="J49" s="40"/>
    </row>
    <row r="50" spans="1:10" ht="12" customHeight="1">
      <c r="A50" s="89"/>
      <c r="B50" s="131"/>
      <c r="C50" s="76"/>
      <c r="D50" s="89"/>
      <c r="E50" s="102"/>
      <c r="F50" s="103"/>
      <c r="G50" s="102"/>
      <c r="H50" s="103"/>
      <c r="I50" s="102"/>
      <c r="J50" s="103"/>
    </row>
    <row r="51" spans="1:10" ht="21" customHeight="1">
      <c r="A51" s="38"/>
      <c r="B51" s="110" t="s">
        <v>277</v>
      </c>
      <c r="C51" s="38"/>
      <c r="D51" s="38"/>
      <c r="E51" s="46"/>
      <c r="F51" s="40"/>
      <c r="G51" s="46"/>
      <c r="H51" s="40"/>
      <c r="I51" s="46"/>
      <c r="J51" s="40"/>
    </row>
    <row r="52" spans="1:10" ht="21" customHeight="1" thickBot="1">
      <c r="A52" s="38"/>
      <c r="B52" s="38" t="s">
        <v>336</v>
      </c>
      <c r="C52" s="38"/>
      <c r="D52" s="38" t="s">
        <v>14</v>
      </c>
      <c r="E52" s="46">
        <v>5</v>
      </c>
      <c r="F52" s="40">
        <f>C52*E52</f>
        <v>0</v>
      </c>
      <c r="G52" s="46">
        <v>35</v>
      </c>
      <c r="H52" s="40">
        <f>C52*G52</f>
        <v>0</v>
      </c>
      <c r="I52" s="46"/>
      <c r="J52" s="40">
        <f>C52*I52</f>
        <v>0</v>
      </c>
    </row>
    <row r="53" spans="1:10" ht="21" customHeight="1" thickTop="1">
      <c r="A53" s="38"/>
      <c r="B53" s="85"/>
      <c r="C53" s="38"/>
      <c r="D53" s="38"/>
      <c r="E53" s="90"/>
      <c r="F53" s="104">
        <f>SUM(F52:F52)</f>
        <v>0</v>
      </c>
      <c r="G53" s="90"/>
      <c r="H53" s="104">
        <f>SUM(H52:H52)</f>
        <v>0</v>
      </c>
      <c r="I53" s="90"/>
      <c r="J53" s="104">
        <f>SUM(J52:J52)</f>
        <v>0</v>
      </c>
    </row>
    <row r="54" spans="1:10" ht="21" customHeight="1">
      <c r="A54" s="38"/>
      <c r="B54" s="231" t="s">
        <v>505</v>
      </c>
      <c r="C54" s="233">
        <f>SUM(F53,H53,J53)</f>
        <v>0</v>
      </c>
      <c r="D54" s="38"/>
      <c r="E54" s="46"/>
      <c r="F54" s="40"/>
      <c r="G54" s="46"/>
      <c r="H54" s="40"/>
      <c r="I54" s="46"/>
      <c r="J54" s="40"/>
    </row>
    <row r="55" spans="1:10" ht="12" customHeight="1">
      <c r="A55" s="89"/>
      <c r="B55" s="130"/>
      <c r="C55" s="58"/>
      <c r="D55" s="89"/>
      <c r="E55" s="102"/>
      <c r="F55" s="103"/>
      <c r="G55" s="102"/>
      <c r="H55" s="103"/>
      <c r="I55" s="102"/>
      <c r="J55" s="103"/>
    </row>
    <row r="56" spans="1:10" ht="21" customHeight="1">
      <c r="A56" s="89"/>
      <c r="B56" s="110" t="s">
        <v>278</v>
      </c>
      <c r="C56" s="38"/>
      <c r="D56" s="38"/>
      <c r="E56" s="46"/>
      <c r="F56" s="40"/>
      <c r="G56" s="46"/>
      <c r="H56" s="40"/>
      <c r="I56" s="46"/>
      <c r="J56" s="40"/>
    </row>
    <row r="57" spans="1:10" ht="21" customHeight="1" thickBot="1">
      <c r="A57" s="89"/>
      <c r="B57" s="100" t="s">
        <v>649</v>
      </c>
      <c r="C57" s="38"/>
      <c r="D57" s="38" t="s">
        <v>16</v>
      </c>
      <c r="E57" s="46"/>
      <c r="F57" s="40">
        <f>C57*E57</f>
        <v>0</v>
      </c>
      <c r="G57" s="46"/>
      <c r="H57" s="40">
        <f>C57*G57</f>
        <v>0</v>
      </c>
      <c r="I57" s="46">
        <v>440</v>
      </c>
      <c r="J57" s="40">
        <f>C57*I57</f>
        <v>0</v>
      </c>
    </row>
    <row r="58" spans="1:10" ht="21" customHeight="1" thickTop="1">
      <c r="A58" s="89"/>
      <c r="B58" s="85"/>
      <c r="C58" s="38"/>
      <c r="D58" s="38"/>
      <c r="E58" s="90"/>
      <c r="F58" s="104">
        <f>SUM(F57:F57)</f>
        <v>0</v>
      </c>
      <c r="G58" s="90"/>
      <c r="H58" s="104">
        <f>SUM(H57:H57)</f>
        <v>0</v>
      </c>
      <c r="I58" s="90"/>
      <c r="J58" s="104">
        <f>SUM(J57:J57)</f>
        <v>0</v>
      </c>
    </row>
    <row r="59" spans="1:10" ht="21" customHeight="1">
      <c r="A59" s="89"/>
      <c r="B59" s="231" t="s">
        <v>506</v>
      </c>
      <c r="C59" s="233">
        <f>SUM(F58,H58,J58)</f>
        <v>0</v>
      </c>
      <c r="D59" s="38"/>
      <c r="E59" s="46"/>
      <c r="F59" s="40"/>
      <c r="G59" s="46"/>
      <c r="H59" s="40"/>
      <c r="I59" s="46"/>
      <c r="J59" s="40"/>
    </row>
    <row r="60" spans="1:10" ht="12" customHeight="1">
      <c r="A60" s="89"/>
      <c r="B60" s="130"/>
      <c r="C60" s="58"/>
      <c r="D60" s="89"/>
      <c r="E60" s="102"/>
      <c r="F60" s="103"/>
      <c r="G60" s="102"/>
      <c r="H60" s="103"/>
      <c r="I60" s="102"/>
      <c r="J60" s="103"/>
    </row>
    <row r="61" spans="1:10" ht="21" customHeight="1">
      <c r="A61" s="89"/>
      <c r="B61" s="110" t="s">
        <v>279</v>
      </c>
      <c r="C61" s="38"/>
      <c r="D61" s="38"/>
      <c r="E61" s="46"/>
      <c r="F61" s="40"/>
      <c r="G61" s="46"/>
      <c r="H61" s="40"/>
      <c r="I61" s="46"/>
      <c r="J61" s="40"/>
    </row>
    <row r="62" spans="1:10" ht="21" customHeight="1">
      <c r="A62" s="89"/>
      <c r="B62" s="38" t="s">
        <v>338</v>
      </c>
      <c r="C62" s="38"/>
      <c r="D62" s="38" t="s">
        <v>15</v>
      </c>
      <c r="E62" s="46"/>
      <c r="F62" s="40">
        <f>C62*E62</f>
        <v>0</v>
      </c>
      <c r="G62" s="46"/>
      <c r="H62" s="40">
        <f>C62*G62</f>
        <v>0</v>
      </c>
      <c r="I62" s="46">
        <v>500</v>
      </c>
      <c r="J62" s="40">
        <f>C62*I62</f>
        <v>0</v>
      </c>
    </row>
    <row r="63" spans="1:10" ht="21" customHeight="1">
      <c r="A63" s="89"/>
      <c r="B63" s="38" t="s">
        <v>361</v>
      </c>
      <c r="C63" s="38"/>
      <c r="D63" s="38" t="s">
        <v>15</v>
      </c>
      <c r="E63" s="46"/>
      <c r="F63" s="40">
        <f>C63*E63</f>
        <v>0</v>
      </c>
      <c r="G63" s="46"/>
      <c r="H63" s="40">
        <f>C63*G63</f>
        <v>0</v>
      </c>
      <c r="I63" s="46">
        <v>500</v>
      </c>
      <c r="J63" s="40">
        <f>C63*I63</f>
        <v>0</v>
      </c>
    </row>
    <row r="64" spans="1:10" ht="21" customHeight="1" thickBot="1">
      <c r="A64" s="89"/>
      <c r="B64" s="38" t="s">
        <v>337</v>
      </c>
      <c r="C64" s="38"/>
      <c r="D64" s="38" t="s">
        <v>15</v>
      </c>
      <c r="E64" s="46"/>
      <c r="F64" s="40">
        <f>C64*E64</f>
        <v>0</v>
      </c>
      <c r="G64" s="46"/>
      <c r="H64" s="40">
        <f>C64*G64</f>
        <v>0</v>
      </c>
      <c r="I64" s="46">
        <v>400</v>
      </c>
      <c r="J64" s="40">
        <f>C64*I64</f>
        <v>0</v>
      </c>
    </row>
    <row r="65" spans="1:10" ht="21" customHeight="1" thickTop="1">
      <c r="A65" s="89"/>
      <c r="B65" s="85"/>
      <c r="C65" s="38"/>
      <c r="D65" s="38"/>
      <c r="E65" s="90"/>
      <c r="F65" s="104">
        <f>SUM(F62:F64)</f>
        <v>0</v>
      </c>
      <c r="G65" s="90"/>
      <c r="H65" s="104">
        <f>SUM(H62:H64)</f>
        <v>0</v>
      </c>
      <c r="I65" s="90"/>
      <c r="J65" s="104">
        <f>SUM(J62:J64)</f>
        <v>0</v>
      </c>
    </row>
    <row r="66" spans="1:10" ht="21" customHeight="1">
      <c r="A66" s="89"/>
      <c r="B66" s="231" t="s">
        <v>507</v>
      </c>
      <c r="C66" s="233">
        <f>SUM(F65,H65,J65)</f>
        <v>0</v>
      </c>
      <c r="D66" s="38"/>
      <c r="E66" s="46"/>
      <c r="F66" s="40"/>
      <c r="G66" s="46"/>
      <c r="H66" s="40"/>
      <c r="I66" s="46"/>
      <c r="J66" s="40"/>
    </row>
    <row r="67" spans="1:10" ht="12" customHeight="1">
      <c r="A67" s="89"/>
      <c r="B67" s="130"/>
      <c r="C67" s="58"/>
      <c r="D67" s="89"/>
      <c r="E67" s="102"/>
      <c r="F67" s="103"/>
      <c r="G67" s="102"/>
      <c r="H67" s="103"/>
      <c r="I67" s="102"/>
      <c r="J67" s="103"/>
    </row>
    <row r="68" spans="1:10" ht="21" customHeight="1">
      <c r="A68" s="89"/>
      <c r="B68" s="110" t="s">
        <v>280</v>
      </c>
      <c r="C68" s="38"/>
      <c r="D68" s="38"/>
      <c r="E68" s="46"/>
      <c r="F68" s="40"/>
      <c r="G68" s="46"/>
      <c r="H68" s="40"/>
      <c r="I68" s="46"/>
      <c r="J68" s="40"/>
    </row>
    <row r="69" spans="1:10" ht="21" customHeight="1" thickBot="1">
      <c r="A69" s="89"/>
      <c r="B69" s="38" t="s">
        <v>354</v>
      </c>
      <c r="C69" s="38"/>
      <c r="D69" s="38" t="s">
        <v>15</v>
      </c>
      <c r="E69" s="46">
        <v>450</v>
      </c>
      <c r="F69" s="40">
        <f>C69*E69</f>
        <v>0</v>
      </c>
      <c r="G69" s="52">
        <v>2000</v>
      </c>
      <c r="H69" s="40">
        <f>C69*G69</f>
        <v>0</v>
      </c>
      <c r="I69" s="46">
        <v>250</v>
      </c>
      <c r="J69" s="40">
        <f>C69*I69</f>
        <v>0</v>
      </c>
    </row>
    <row r="70" spans="1:10" ht="21" customHeight="1" thickTop="1">
      <c r="A70" s="89"/>
      <c r="B70" s="85"/>
      <c r="C70" s="38"/>
      <c r="D70" s="38"/>
      <c r="E70" s="90"/>
      <c r="F70" s="104">
        <f>SUM(F69:F69)</f>
        <v>0</v>
      </c>
      <c r="G70" s="90"/>
      <c r="H70" s="104">
        <f>SUM(H69:H69)</f>
        <v>0</v>
      </c>
      <c r="I70" s="90"/>
      <c r="J70" s="104">
        <f>SUM(J69:J69)</f>
        <v>0</v>
      </c>
    </row>
    <row r="71" spans="1:10" ht="21" customHeight="1">
      <c r="A71" s="89"/>
      <c r="B71" s="231" t="s">
        <v>508</v>
      </c>
      <c r="C71" s="233">
        <f>SUM(F70,H70,J70)</f>
        <v>0</v>
      </c>
      <c r="D71" s="38"/>
      <c r="E71" s="46"/>
      <c r="F71" s="40"/>
      <c r="G71" s="46"/>
      <c r="H71" s="40"/>
      <c r="I71" s="46"/>
      <c r="J71" s="40"/>
    </row>
    <row r="72" spans="1:10" ht="12" customHeight="1">
      <c r="A72" s="89"/>
      <c r="B72" s="130"/>
      <c r="C72" s="58"/>
      <c r="D72" s="89"/>
      <c r="E72" s="102"/>
      <c r="F72" s="103"/>
      <c r="G72" s="102"/>
      <c r="H72" s="103"/>
      <c r="I72" s="102"/>
      <c r="J72" s="103"/>
    </row>
    <row r="73" spans="1:10" ht="21" customHeight="1">
      <c r="A73" s="38"/>
      <c r="B73" s="110" t="s">
        <v>95</v>
      </c>
      <c r="C73" s="38"/>
      <c r="D73" s="38"/>
      <c r="E73" s="46"/>
      <c r="F73" s="40"/>
      <c r="G73" s="46"/>
      <c r="H73" s="40"/>
      <c r="I73" s="46"/>
      <c r="J73" s="40"/>
    </row>
    <row r="74" spans="1:10" ht="21" customHeight="1">
      <c r="A74" s="38"/>
      <c r="B74" s="59" t="s">
        <v>536</v>
      </c>
      <c r="C74" s="38"/>
      <c r="D74" s="38" t="s">
        <v>15</v>
      </c>
      <c r="E74" s="46">
        <v>50</v>
      </c>
      <c r="F74" s="40">
        <f>C74*E74</f>
        <v>0</v>
      </c>
      <c r="G74" s="46">
        <v>500</v>
      </c>
      <c r="H74" s="40">
        <f>C74*G74</f>
        <v>0</v>
      </c>
      <c r="I74" s="46">
        <v>0</v>
      </c>
      <c r="J74" s="40">
        <f>C74*I74</f>
        <v>0</v>
      </c>
    </row>
    <row r="75" spans="1:10" ht="21" customHeight="1">
      <c r="A75" s="38"/>
      <c r="B75" s="38" t="s">
        <v>535</v>
      </c>
      <c r="C75" s="38"/>
      <c r="D75" s="38" t="s">
        <v>15</v>
      </c>
      <c r="E75" s="46">
        <v>24</v>
      </c>
      <c r="F75" s="40">
        <f>C75*E75</f>
        <v>0</v>
      </c>
      <c r="G75" s="46">
        <v>60</v>
      </c>
      <c r="H75" s="40">
        <f>C75*G75</f>
        <v>0</v>
      </c>
      <c r="I75" s="46"/>
      <c r="J75" s="40">
        <f>C75*I75</f>
        <v>0</v>
      </c>
    </row>
    <row r="76" spans="1:10" ht="21" customHeight="1" thickBot="1">
      <c r="A76" s="38"/>
      <c r="B76" s="38" t="s">
        <v>537</v>
      </c>
      <c r="C76" s="38"/>
      <c r="D76" s="38" t="s">
        <v>15</v>
      </c>
      <c r="E76" s="46">
        <v>50</v>
      </c>
      <c r="F76" s="40">
        <f>C76*E76</f>
        <v>0</v>
      </c>
      <c r="G76" s="46">
        <v>100</v>
      </c>
      <c r="H76" s="40">
        <f>C76*G76</f>
        <v>0</v>
      </c>
      <c r="I76" s="46"/>
      <c r="J76" s="40">
        <f>C76*I76</f>
        <v>0</v>
      </c>
    </row>
    <row r="77" spans="1:10" ht="21" customHeight="1" thickTop="1">
      <c r="A77" s="38"/>
      <c r="B77" s="85"/>
      <c r="C77" s="38"/>
      <c r="D77" s="38"/>
      <c r="E77" s="90"/>
      <c r="F77" s="104">
        <f>SUM(F74:F76)</f>
        <v>0</v>
      </c>
      <c r="G77" s="90"/>
      <c r="H77" s="104">
        <f>SUM(H74:H76)</f>
        <v>0</v>
      </c>
      <c r="I77" s="90"/>
      <c r="J77" s="104">
        <f>SUM(J74:J76)</f>
        <v>0</v>
      </c>
    </row>
    <row r="78" spans="1:10" ht="21" customHeight="1">
      <c r="A78" s="38"/>
      <c r="B78" s="231" t="s">
        <v>509</v>
      </c>
      <c r="C78" s="233">
        <f>SUM(F77,H77,J77)</f>
        <v>0</v>
      </c>
      <c r="D78" s="38"/>
      <c r="E78" s="46"/>
      <c r="F78" s="40"/>
      <c r="G78" s="46"/>
      <c r="H78" s="40"/>
      <c r="I78" s="46"/>
      <c r="J78" s="40"/>
    </row>
    <row r="79" spans="1:10" ht="12" customHeight="1">
      <c r="A79" s="89"/>
      <c r="B79" s="130"/>
      <c r="C79" s="58"/>
      <c r="D79" s="89"/>
      <c r="E79" s="102"/>
      <c r="F79" s="103"/>
      <c r="G79" s="102"/>
      <c r="H79" s="103"/>
      <c r="I79" s="102"/>
      <c r="J79" s="103"/>
    </row>
    <row r="80" spans="1:10" ht="21" customHeight="1">
      <c r="A80" s="38"/>
      <c r="B80" s="110" t="s">
        <v>52</v>
      </c>
      <c r="C80" s="38"/>
      <c r="D80" s="38"/>
      <c r="E80" s="46"/>
      <c r="F80" s="40"/>
      <c r="G80" s="46"/>
      <c r="H80" s="40"/>
      <c r="I80" s="46"/>
      <c r="J80" s="40"/>
    </row>
    <row r="81" spans="1:10" ht="21" customHeight="1">
      <c r="A81" s="38"/>
      <c r="B81" s="59" t="s">
        <v>538</v>
      </c>
      <c r="C81" s="38"/>
      <c r="D81" s="38" t="s">
        <v>15</v>
      </c>
      <c r="E81" s="46">
        <v>50</v>
      </c>
      <c r="F81" s="40">
        <f>C81*E81</f>
        <v>0</v>
      </c>
      <c r="G81" s="46">
        <v>145</v>
      </c>
      <c r="H81" s="40">
        <f>C81*G81</f>
        <v>0</v>
      </c>
      <c r="I81" s="46">
        <v>0</v>
      </c>
      <c r="J81" s="40">
        <f>C81*I81</f>
        <v>0</v>
      </c>
    </row>
    <row r="82" spans="1:10" ht="21" customHeight="1">
      <c r="A82" s="38"/>
      <c r="B82" s="59" t="s">
        <v>539</v>
      </c>
      <c r="C82" s="38"/>
      <c r="D82" s="38" t="s">
        <v>15</v>
      </c>
      <c r="E82" s="46">
        <v>50</v>
      </c>
      <c r="F82" s="40">
        <f>C82*E82</f>
        <v>0</v>
      </c>
      <c r="G82" s="46">
        <v>25</v>
      </c>
      <c r="H82" s="40">
        <f>C82*G82</f>
        <v>0</v>
      </c>
      <c r="I82" s="46"/>
      <c r="J82" s="40">
        <f>C82*I82</f>
        <v>0</v>
      </c>
    </row>
    <row r="83" spans="1:10" ht="21" customHeight="1" thickBot="1">
      <c r="A83" s="38"/>
      <c r="B83" s="59" t="s">
        <v>540</v>
      </c>
      <c r="C83" s="38"/>
      <c r="D83" s="38" t="s">
        <v>15</v>
      </c>
      <c r="E83" s="46">
        <v>50</v>
      </c>
      <c r="F83" s="40">
        <f>C83*E83</f>
        <v>0</v>
      </c>
      <c r="G83" s="46">
        <v>70</v>
      </c>
      <c r="H83" s="40">
        <f>C83*G83</f>
        <v>0</v>
      </c>
      <c r="I83" s="46">
        <v>0</v>
      </c>
      <c r="J83" s="40">
        <f>C83*I83</f>
        <v>0</v>
      </c>
    </row>
    <row r="84" spans="1:10" ht="21" customHeight="1" thickTop="1">
      <c r="A84" s="38"/>
      <c r="B84" s="85"/>
      <c r="C84" s="38"/>
      <c r="D84" s="38"/>
      <c r="E84" s="90"/>
      <c r="F84" s="104">
        <f>SUM(F81:F83)</f>
        <v>0</v>
      </c>
      <c r="G84" s="90"/>
      <c r="H84" s="104">
        <f>SUM(H81:H83)</f>
        <v>0</v>
      </c>
      <c r="I84" s="90"/>
      <c r="J84" s="104">
        <f>SUM(J81:J83)</f>
        <v>0</v>
      </c>
    </row>
    <row r="85" spans="1:10" ht="21" customHeight="1">
      <c r="A85" s="38"/>
      <c r="B85" s="231" t="s">
        <v>510</v>
      </c>
      <c r="C85" s="233">
        <f>SUM(F84,H84,J84)</f>
        <v>0</v>
      </c>
      <c r="D85" s="38"/>
      <c r="E85" s="46"/>
      <c r="F85" s="40"/>
      <c r="G85" s="46"/>
      <c r="H85" s="40"/>
      <c r="I85" s="46"/>
      <c r="J85" s="40"/>
    </row>
    <row r="86" spans="1:10" ht="12" customHeight="1">
      <c r="A86" s="89"/>
      <c r="B86" s="130"/>
      <c r="C86" s="58"/>
      <c r="D86" s="89"/>
      <c r="E86" s="102"/>
      <c r="F86" s="103"/>
      <c r="G86" s="102"/>
      <c r="H86" s="103"/>
      <c r="I86" s="102"/>
      <c r="J86" s="103"/>
    </row>
    <row r="87" spans="1:10" ht="21" customHeight="1">
      <c r="A87" s="89"/>
      <c r="B87" s="110" t="s">
        <v>390</v>
      </c>
      <c r="C87" s="38"/>
      <c r="D87" s="38"/>
      <c r="E87" s="46"/>
      <c r="F87" s="40"/>
      <c r="G87" s="46"/>
      <c r="H87" s="40"/>
      <c r="I87" s="46"/>
      <c r="J87" s="40"/>
    </row>
    <row r="88" spans="1:10" ht="21" customHeight="1">
      <c r="A88" s="89"/>
      <c r="B88" s="38"/>
      <c r="C88" s="38"/>
      <c r="D88" s="38" t="s">
        <v>15</v>
      </c>
      <c r="E88" s="46"/>
      <c r="F88" s="40">
        <f>C88*E88</f>
        <v>0</v>
      </c>
      <c r="G88" s="46"/>
      <c r="H88" s="40">
        <f>C88*G88</f>
        <v>0</v>
      </c>
      <c r="I88" s="46"/>
      <c r="J88" s="40">
        <f>C88*I88</f>
        <v>0</v>
      </c>
    </row>
    <row r="89" spans="1:10" ht="21" customHeight="1">
      <c r="A89" s="89"/>
      <c r="B89" s="38" t="s">
        <v>448</v>
      </c>
      <c r="C89" s="38"/>
      <c r="D89" s="38" t="s">
        <v>14</v>
      </c>
      <c r="E89" s="46"/>
      <c r="F89" s="40">
        <f>C89*E89</f>
        <v>0</v>
      </c>
      <c r="G89" s="46"/>
      <c r="H89" s="40">
        <f>C89*G89</f>
        <v>0</v>
      </c>
      <c r="I89" s="46">
        <v>32.56</v>
      </c>
      <c r="J89" s="40">
        <f>C89*I89</f>
        <v>0</v>
      </c>
    </row>
    <row r="90" spans="1:10" ht="21" customHeight="1" thickBot="1">
      <c r="A90" s="89"/>
      <c r="B90" s="38"/>
      <c r="C90" s="38"/>
      <c r="D90" s="38" t="s">
        <v>16</v>
      </c>
      <c r="E90" s="46"/>
      <c r="F90" s="40">
        <f>C90*E90</f>
        <v>0</v>
      </c>
      <c r="G90" s="46"/>
      <c r="H90" s="40">
        <f>C90*G90</f>
        <v>0</v>
      </c>
      <c r="I90" s="46"/>
      <c r="J90" s="40">
        <f>C90*I90</f>
        <v>0</v>
      </c>
    </row>
    <row r="91" spans="1:10" ht="21" customHeight="1" thickTop="1">
      <c r="A91" s="89"/>
      <c r="B91" s="85"/>
      <c r="C91" s="38"/>
      <c r="D91" s="38"/>
      <c r="E91" s="90"/>
      <c r="F91" s="104">
        <f>SUM(F88:F90)</f>
        <v>0</v>
      </c>
      <c r="G91" s="90"/>
      <c r="H91" s="104">
        <f>SUM(H88:H90)</f>
        <v>0</v>
      </c>
      <c r="I91" s="90"/>
      <c r="J91" s="104">
        <f>SUM(J88:J90)</f>
        <v>0</v>
      </c>
    </row>
    <row r="92" spans="1:10" ht="21" customHeight="1">
      <c r="A92" s="89"/>
      <c r="B92" s="231" t="s">
        <v>511</v>
      </c>
      <c r="C92" s="233">
        <f>SUM(F91,H91,J91)</f>
        <v>0</v>
      </c>
      <c r="D92" s="38"/>
      <c r="E92" s="46"/>
      <c r="F92" s="40"/>
      <c r="G92" s="46"/>
      <c r="H92" s="40"/>
      <c r="I92" s="46"/>
      <c r="J92" s="40"/>
    </row>
    <row r="93" spans="1:10" ht="12" customHeight="1">
      <c r="A93" s="89"/>
      <c r="B93" s="130"/>
      <c r="C93" s="54"/>
      <c r="D93" s="38"/>
      <c r="E93" s="46"/>
      <c r="F93" s="40"/>
      <c r="G93" s="46"/>
      <c r="H93" s="40"/>
      <c r="I93" s="46"/>
      <c r="J93" s="40"/>
    </row>
    <row r="94" spans="1:10" ht="21" customHeight="1">
      <c r="A94" s="38"/>
      <c r="B94" s="110" t="s">
        <v>147</v>
      </c>
      <c r="C94" s="38"/>
      <c r="D94" s="38"/>
      <c r="E94" s="46"/>
      <c r="F94" s="40"/>
      <c r="G94" s="46"/>
      <c r="H94" s="40"/>
      <c r="I94" s="46"/>
      <c r="J94" s="40"/>
    </row>
    <row r="95" spans="1:10" ht="21" customHeight="1">
      <c r="A95" s="38"/>
      <c r="B95" s="38" t="s">
        <v>327</v>
      </c>
      <c r="C95" s="38"/>
      <c r="D95" s="38" t="s">
        <v>15</v>
      </c>
      <c r="E95" s="46">
        <v>48</v>
      </c>
      <c r="F95" s="40">
        <f>C95*E95</f>
        <v>0</v>
      </c>
      <c r="G95" s="46">
        <v>142</v>
      </c>
      <c r="H95" s="40">
        <f>C95*G95</f>
        <v>0</v>
      </c>
      <c r="I95" s="46">
        <v>0</v>
      </c>
      <c r="J95" s="40">
        <f>C95*I95</f>
        <v>0</v>
      </c>
    </row>
    <row r="96" spans="1:10" ht="21" customHeight="1">
      <c r="A96" s="38"/>
      <c r="B96" s="38" t="s">
        <v>553</v>
      </c>
      <c r="C96" s="38"/>
      <c r="D96" s="38" t="s">
        <v>15</v>
      </c>
      <c r="E96" s="46">
        <v>50</v>
      </c>
      <c r="F96" s="40">
        <f>C96*E96</f>
        <v>0</v>
      </c>
      <c r="G96" s="46">
        <v>186</v>
      </c>
      <c r="H96" s="40">
        <f>C96*G96</f>
        <v>0</v>
      </c>
      <c r="I96" s="46">
        <v>0</v>
      </c>
      <c r="J96" s="40">
        <f>C96*I96</f>
        <v>0</v>
      </c>
    </row>
    <row r="97" spans="1:10" ht="21" customHeight="1">
      <c r="A97" s="38"/>
      <c r="B97" s="38" t="s">
        <v>554</v>
      </c>
      <c r="C97" s="38"/>
      <c r="D97" s="38" t="s">
        <v>15</v>
      </c>
      <c r="E97" s="46">
        <v>100</v>
      </c>
      <c r="F97" s="40">
        <f>C97*E97</f>
        <v>0</v>
      </c>
      <c r="G97" s="46">
        <v>480</v>
      </c>
      <c r="H97" s="40">
        <f>C97*G97</f>
        <v>0</v>
      </c>
      <c r="I97" s="46">
        <v>0</v>
      </c>
      <c r="J97" s="40">
        <f>C97*I97</f>
        <v>0</v>
      </c>
    </row>
    <row r="98" spans="1:10" ht="21" customHeight="1" thickBot="1">
      <c r="A98" s="38"/>
      <c r="B98" s="38" t="s">
        <v>198</v>
      </c>
      <c r="C98" s="38"/>
      <c r="D98" s="38" t="s">
        <v>16</v>
      </c>
      <c r="E98" s="46">
        <v>48</v>
      </c>
      <c r="F98" s="40">
        <f>C98*E98</f>
        <v>0</v>
      </c>
      <c r="G98" s="46"/>
      <c r="H98" s="40">
        <f>C98*G98</f>
        <v>0</v>
      </c>
      <c r="I98" s="46">
        <v>0</v>
      </c>
      <c r="J98" s="40">
        <f>C98*I98</f>
        <v>0</v>
      </c>
    </row>
    <row r="99" spans="1:10" ht="21" customHeight="1" thickTop="1">
      <c r="A99" s="38"/>
      <c r="B99" s="85"/>
      <c r="C99" s="38"/>
      <c r="D99" s="38"/>
      <c r="E99" s="90"/>
      <c r="F99" s="104">
        <f>SUM(F95:F98)</f>
        <v>0</v>
      </c>
      <c r="G99" s="90"/>
      <c r="H99" s="104">
        <f>SUM(H95:H98)</f>
        <v>0</v>
      </c>
      <c r="I99" s="90"/>
      <c r="J99" s="104">
        <f>SUM(J95:J98)</f>
        <v>0</v>
      </c>
    </row>
    <row r="100" spans="1:10" ht="21" customHeight="1">
      <c r="A100" s="38"/>
      <c r="B100" s="231" t="s">
        <v>512</v>
      </c>
      <c r="C100" s="233">
        <f>SUM(F99,H99,J99)</f>
        <v>0</v>
      </c>
      <c r="D100" s="38"/>
      <c r="E100" s="46"/>
      <c r="F100" s="40"/>
      <c r="G100" s="46"/>
      <c r="H100" s="40"/>
      <c r="I100" s="46"/>
      <c r="J100" s="40"/>
    </row>
    <row r="101" spans="1:10" ht="21" customHeight="1">
      <c r="A101" s="89"/>
      <c r="B101" s="130"/>
      <c r="C101" s="58"/>
      <c r="D101" s="89"/>
      <c r="E101" s="102"/>
      <c r="F101" s="103"/>
      <c r="G101" s="102"/>
      <c r="H101" s="103"/>
      <c r="I101" s="102"/>
      <c r="J101" s="103"/>
    </row>
    <row r="102" spans="1:10" ht="21" customHeight="1">
      <c r="A102" s="43"/>
      <c r="B102" s="140"/>
      <c r="C102" s="88"/>
      <c r="D102" s="43"/>
      <c r="E102" s="132"/>
      <c r="F102" s="133"/>
      <c r="G102" s="132"/>
      <c r="H102" s="133"/>
      <c r="I102" s="132"/>
      <c r="J102" s="133"/>
    </row>
  </sheetData>
  <sheetProtection/>
  <mergeCells count="1">
    <mergeCell ref="F2:G2"/>
  </mergeCells>
  <printOptions/>
  <pageMargins left="0.25" right="0" top="1" bottom="0" header="0.5" footer="0"/>
  <pageSetup horizontalDpi="300" verticalDpi="300" orientation="landscape" r:id="rId1"/>
  <headerFooter alignWithMargins="0">
    <oddHeader>&amp;RPage &amp;P of 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J52"/>
  <sheetViews>
    <sheetView zoomScalePageLayoutView="0" workbookViewId="0" topLeftCell="A1">
      <pane ySplit="6" topLeftCell="A41" activePane="bottomLeft" state="frozen"/>
      <selection pane="topLeft" activeCell="A1" sqref="A1"/>
      <selection pane="bottomLeft" activeCell="H50" sqref="H50"/>
    </sheetView>
  </sheetViews>
  <sheetFormatPr defaultColWidth="8.8515625" defaultRowHeight="12.75"/>
  <cols>
    <col min="1" max="1" width="9.57421875" style="45" bestFit="1" customWidth="1"/>
    <col min="2" max="2" width="44.7109375" style="45" bestFit="1" customWidth="1"/>
    <col min="3" max="3" width="10.28125" style="45" customWidth="1"/>
    <col min="4" max="4" width="9.140625" style="45" bestFit="1" customWidth="1"/>
    <col min="5" max="5" width="7.28125" style="136" customWidth="1"/>
    <col min="6" max="6" width="9.28125" style="45" customWidth="1"/>
    <col min="7" max="7" width="8.28125" style="136" customWidth="1"/>
    <col min="8" max="8" width="14.00390625" style="45" bestFit="1" customWidth="1"/>
    <col min="9" max="9" width="8.140625" style="136" customWidth="1"/>
    <col min="10" max="10" width="10.28125" style="45" customWidth="1"/>
    <col min="11" max="16384" width="8.8515625" style="45" customWidth="1"/>
  </cols>
  <sheetData>
    <row r="1" spans="1:9" ht="12.75">
      <c r="A1" s="166" t="s">
        <v>446</v>
      </c>
      <c r="B1" s="195">
        <f>Spread!B1</f>
        <v>0</v>
      </c>
      <c r="C1" s="165" t="s">
        <v>370</v>
      </c>
      <c r="D1" s="196" t="e">
        <f>Spread!#REF!</f>
        <v>#REF!</v>
      </c>
      <c r="E1"/>
      <c r="F1" s="165" t="s">
        <v>371</v>
      </c>
      <c r="G1" s="51"/>
      <c r="H1" s="170" t="e">
        <f>Spread!#REF!</f>
        <v>#REF!</v>
      </c>
      <c r="I1" s="45"/>
    </row>
    <row r="2" spans="1:9" ht="12.75">
      <c r="A2" s="166"/>
      <c r="B2" s="195" t="e">
        <f>Spread!#REF!</f>
        <v>#REF!</v>
      </c>
      <c r="C2" s="51"/>
      <c r="D2" s="51"/>
      <c r="E2"/>
      <c r="F2" s="476" t="s">
        <v>447</v>
      </c>
      <c r="G2" s="476"/>
      <c r="H2" s="197" t="e">
        <f>Spread!#REF!</f>
        <v>#REF!</v>
      </c>
      <c r="I2" s="45"/>
    </row>
    <row r="3" spans="1:9" ht="12.75" customHeight="1">
      <c r="A3" s="168"/>
      <c r="B3" s="195">
        <f>Spread!B3</f>
        <v>0</v>
      </c>
      <c r="C3" s="165" t="s">
        <v>445</v>
      </c>
      <c r="D3" s="51" t="e">
        <f>Spread!#REF!</f>
        <v>#REF!</v>
      </c>
      <c r="E3" s="51"/>
      <c r="F3" s="51"/>
      <c r="G3" s="51"/>
      <c r="H3" s="51"/>
      <c r="I3" s="118"/>
    </row>
    <row r="4" spans="2:9" ht="12" customHeight="1">
      <c r="B4" s="119"/>
      <c r="E4" s="45"/>
      <c r="G4" s="45"/>
      <c r="I4" s="45"/>
    </row>
    <row r="5" spans="1:10" ht="12.75" customHeight="1">
      <c r="A5" s="120" t="s">
        <v>7</v>
      </c>
      <c r="B5" s="120" t="s">
        <v>0</v>
      </c>
      <c r="C5" s="120" t="s">
        <v>8</v>
      </c>
      <c r="D5" s="120" t="s">
        <v>9</v>
      </c>
      <c r="E5" s="121" t="s">
        <v>2</v>
      </c>
      <c r="F5" s="122"/>
      <c r="G5" s="121" t="s">
        <v>1</v>
      </c>
      <c r="H5" s="122"/>
      <c r="I5" s="121" t="s">
        <v>10</v>
      </c>
      <c r="J5" s="122"/>
    </row>
    <row r="6" spans="1:10" ht="12.75" customHeight="1" thickBot="1">
      <c r="A6" s="123"/>
      <c r="B6" s="123"/>
      <c r="C6" s="123"/>
      <c r="D6" s="123"/>
      <c r="E6" s="124" t="s">
        <v>11</v>
      </c>
      <c r="F6" s="123" t="s">
        <v>12</v>
      </c>
      <c r="G6" s="124" t="s">
        <v>11</v>
      </c>
      <c r="H6" s="123" t="s">
        <v>12</v>
      </c>
      <c r="I6" s="124" t="s">
        <v>13</v>
      </c>
      <c r="J6" s="123" t="s">
        <v>12</v>
      </c>
    </row>
    <row r="7" spans="1:10" ht="21" customHeight="1" thickTop="1">
      <c r="A7" s="38"/>
      <c r="B7" s="105" t="s">
        <v>281</v>
      </c>
      <c r="C7" s="38"/>
      <c r="D7" s="38"/>
      <c r="E7" s="46"/>
      <c r="F7" s="40"/>
      <c r="G7" s="46"/>
      <c r="H7" s="40"/>
      <c r="I7" s="46"/>
      <c r="J7" s="40"/>
    </row>
    <row r="8" spans="1:10" ht="21" customHeight="1">
      <c r="A8" s="38"/>
      <c r="B8" s="89" t="s">
        <v>555</v>
      </c>
      <c r="C8" s="38"/>
      <c r="D8" s="38" t="s">
        <v>15</v>
      </c>
      <c r="E8" s="46"/>
      <c r="F8" s="40">
        <f>C8*E8</f>
        <v>0</v>
      </c>
      <c r="G8" s="46"/>
      <c r="H8" s="40">
        <f>C8*G8</f>
        <v>0</v>
      </c>
      <c r="I8" s="46">
        <v>419</v>
      </c>
      <c r="J8" s="40">
        <f>C8*I8</f>
        <v>0</v>
      </c>
    </row>
    <row r="9" spans="1:10" ht="21" customHeight="1">
      <c r="A9" s="38"/>
      <c r="B9" s="89" t="s">
        <v>556</v>
      </c>
      <c r="C9" s="38"/>
      <c r="D9" s="38" t="s">
        <v>15</v>
      </c>
      <c r="E9" s="46"/>
      <c r="F9" s="40">
        <f>C9*E9</f>
        <v>0</v>
      </c>
      <c r="G9" s="46"/>
      <c r="H9" s="40">
        <f>C9*G9</f>
        <v>0</v>
      </c>
      <c r="I9" s="46">
        <v>1857</v>
      </c>
      <c r="J9" s="40">
        <f>C9*I9</f>
        <v>0</v>
      </c>
    </row>
    <row r="10" spans="1:10" ht="21" customHeight="1" thickBot="1">
      <c r="A10" s="38"/>
      <c r="B10" s="89" t="s">
        <v>557</v>
      </c>
      <c r="C10" s="38"/>
      <c r="D10" s="38" t="s">
        <v>15</v>
      </c>
      <c r="E10" s="46"/>
      <c r="F10" s="40">
        <f>C10*E10</f>
        <v>0</v>
      </c>
      <c r="G10" s="46"/>
      <c r="H10" s="40">
        <f>C10*G10</f>
        <v>0</v>
      </c>
      <c r="I10" s="46">
        <v>845</v>
      </c>
      <c r="J10" s="40">
        <f>C10*I10</f>
        <v>0</v>
      </c>
    </row>
    <row r="11" spans="1:10" ht="21" customHeight="1" thickTop="1">
      <c r="A11" s="38"/>
      <c r="B11" s="89"/>
      <c r="C11" s="38"/>
      <c r="D11" s="38"/>
      <c r="E11" s="90"/>
      <c r="F11" s="104">
        <f>SUM(F8:F8)</f>
        <v>0</v>
      </c>
      <c r="G11" s="90"/>
      <c r="H11" s="104">
        <f>SUM(H8:H8)</f>
        <v>0</v>
      </c>
      <c r="I11" s="90"/>
      <c r="J11" s="104">
        <f>SUM(J8:J8)</f>
        <v>0</v>
      </c>
    </row>
    <row r="12" spans="1:10" ht="21" customHeight="1">
      <c r="A12" s="38"/>
      <c r="B12" s="239" t="s">
        <v>513</v>
      </c>
      <c r="C12" s="232">
        <f>SUM(F11,H11,J11)</f>
        <v>0</v>
      </c>
      <c r="D12" s="38"/>
      <c r="E12" s="46"/>
      <c r="F12" s="40"/>
      <c r="G12" s="46"/>
      <c r="H12" s="40"/>
      <c r="I12" s="46"/>
      <c r="J12" s="40"/>
    </row>
    <row r="13" spans="1:10" ht="12" customHeight="1">
      <c r="A13" s="89"/>
      <c r="B13" s="130"/>
      <c r="C13" s="75"/>
      <c r="D13" s="89"/>
      <c r="E13" s="102"/>
      <c r="F13" s="103"/>
      <c r="G13" s="102"/>
      <c r="H13" s="103"/>
      <c r="I13" s="102"/>
      <c r="J13" s="103"/>
    </row>
    <row r="14" spans="1:10" ht="21" customHeight="1">
      <c r="A14" s="38"/>
      <c r="B14" s="110" t="s">
        <v>282</v>
      </c>
      <c r="C14" s="38"/>
      <c r="D14" s="38"/>
      <c r="E14" s="46"/>
      <c r="F14" s="40"/>
      <c r="G14" s="46"/>
      <c r="H14" s="40"/>
      <c r="I14" s="46"/>
      <c r="J14" s="40"/>
    </row>
    <row r="15" spans="1:10" ht="21" customHeight="1">
      <c r="A15" s="38"/>
      <c r="B15" s="50" t="s">
        <v>355</v>
      </c>
      <c r="C15" s="38"/>
      <c r="D15" s="38" t="s">
        <v>15</v>
      </c>
      <c r="E15" s="46">
        <v>50</v>
      </c>
      <c r="F15" s="40">
        <f>C15*E15</f>
        <v>0</v>
      </c>
      <c r="G15" s="46">
        <v>275</v>
      </c>
      <c r="H15" s="40">
        <f>C15*G15</f>
        <v>0</v>
      </c>
      <c r="I15" s="46"/>
      <c r="J15" s="40">
        <f>C15*I15</f>
        <v>0</v>
      </c>
    </row>
    <row r="16" spans="1:10" ht="21" customHeight="1" thickBot="1">
      <c r="A16" s="38"/>
      <c r="B16" s="38" t="s">
        <v>541</v>
      </c>
      <c r="C16" s="38"/>
      <c r="D16" s="38" t="s">
        <v>15</v>
      </c>
      <c r="E16" s="46">
        <v>200</v>
      </c>
      <c r="F16" s="40">
        <f>C16*E16</f>
        <v>0</v>
      </c>
      <c r="G16" s="46">
        <v>1500</v>
      </c>
      <c r="H16" s="40">
        <f>C16*G16</f>
        <v>0</v>
      </c>
      <c r="I16" s="46"/>
      <c r="J16" s="40">
        <f>C16*I16</f>
        <v>0</v>
      </c>
    </row>
    <row r="17" spans="1:10" ht="21" customHeight="1" thickTop="1">
      <c r="A17" s="38"/>
      <c r="B17" s="85"/>
      <c r="C17" s="38"/>
      <c r="D17" s="38"/>
      <c r="E17" s="90"/>
      <c r="F17" s="104">
        <f>SUM(F15:F16)</f>
        <v>0</v>
      </c>
      <c r="G17" s="90"/>
      <c r="H17" s="104">
        <f>SUM(H15:H16)</f>
        <v>0</v>
      </c>
      <c r="I17" s="90"/>
      <c r="J17" s="104">
        <f>SUM(J15:J16)</f>
        <v>0</v>
      </c>
    </row>
    <row r="18" spans="1:10" ht="21" customHeight="1">
      <c r="A18" s="38"/>
      <c r="B18" s="231" t="s">
        <v>514</v>
      </c>
      <c r="C18" s="233">
        <f>SUM(F17,H17,J17)</f>
        <v>0</v>
      </c>
      <c r="D18" s="38"/>
      <c r="E18" s="46"/>
      <c r="F18" s="40"/>
      <c r="G18" s="46"/>
      <c r="H18" s="40"/>
      <c r="I18" s="46"/>
      <c r="J18" s="40"/>
    </row>
    <row r="19" spans="1:10" ht="12" customHeight="1">
      <c r="A19" s="89"/>
      <c r="B19" s="130"/>
      <c r="C19" s="58"/>
      <c r="D19" s="89"/>
      <c r="E19" s="102"/>
      <c r="F19" s="103"/>
      <c r="G19" s="102"/>
      <c r="H19" s="103"/>
      <c r="I19" s="102"/>
      <c r="J19" s="103"/>
    </row>
    <row r="20" spans="1:10" ht="21" customHeight="1">
      <c r="A20" s="89"/>
      <c r="B20" s="110" t="s">
        <v>283</v>
      </c>
      <c r="C20" s="38"/>
      <c r="D20" s="38"/>
      <c r="E20" s="46"/>
      <c r="F20" s="40"/>
      <c r="G20" s="46"/>
      <c r="H20" s="40"/>
      <c r="I20" s="46"/>
      <c r="J20" s="40"/>
    </row>
    <row r="21" spans="1:10" ht="21" customHeight="1">
      <c r="A21" s="89"/>
      <c r="B21" s="38" t="s">
        <v>364</v>
      </c>
      <c r="C21" s="38"/>
      <c r="D21" s="38" t="s">
        <v>15</v>
      </c>
      <c r="E21" s="46"/>
      <c r="F21" s="40">
        <f aca="true" t="shared" si="0" ref="F21:F26">C21*E21</f>
        <v>0</v>
      </c>
      <c r="G21" s="46"/>
      <c r="H21" s="40">
        <f aca="true" t="shared" si="1" ref="H21:H26">C21*G21</f>
        <v>0</v>
      </c>
      <c r="I21" s="46">
        <v>3500</v>
      </c>
      <c r="J21" s="40">
        <f aca="true" t="shared" si="2" ref="J21:J26">C21*I21</f>
        <v>0</v>
      </c>
    </row>
    <row r="22" spans="1:10" ht="21" customHeight="1">
      <c r="A22" s="89"/>
      <c r="B22" s="38" t="s">
        <v>367</v>
      </c>
      <c r="C22" s="38"/>
      <c r="D22" s="38" t="s">
        <v>15</v>
      </c>
      <c r="E22" s="46"/>
      <c r="F22" s="40">
        <f>C22*E22</f>
        <v>0</v>
      </c>
      <c r="G22" s="46"/>
      <c r="H22" s="40">
        <f>C22*G22</f>
        <v>0</v>
      </c>
      <c r="I22" s="46">
        <v>2800</v>
      </c>
      <c r="J22" s="40">
        <f>C22*I22</f>
        <v>0</v>
      </c>
    </row>
    <row r="23" spans="1:10" ht="21" customHeight="1">
      <c r="A23" s="89"/>
      <c r="B23" s="38" t="s">
        <v>366</v>
      </c>
      <c r="C23" s="38"/>
      <c r="D23" s="38" t="s">
        <v>15</v>
      </c>
      <c r="E23" s="46"/>
      <c r="F23" s="40">
        <f t="shared" si="0"/>
        <v>0</v>
      </c>
      <c r="G23" s="46"/>
      <c r="H23" s="40">
        <f t="shared" si="1"/>
        <v>0</v>
      </c>
      <c r="I23" s="46">
        <v>2000</v>
      </c>
      <c r="J23" s="40">
        <f t="shared" si="2"/>
        <v>0</v>
      </c>
    </row>
    <row r="24" spans="1:10" ht="21" customHeight="1">
      <c r="A24" s="89"/>
      <c r="B24" s="38" t="s">
        <v>365</v>
      </c>
      <c r="C24" s="38"/>
      <c r="D24" s="38" t="s">
        <v>15</v>
      </c>
      <c r="E24" s="46"/>
      <c r="F24" s="40">
        <f>C24*E24</f>
        <v>0</v>
      </c>
      <c r="G24" s="46"/>
      <c r="H24" s="40">
        <f>C24*G24</f>
        <v>0</v>
      </c>
      <c r="I24" s="46">
        <v>250</v>
      </c>
      <c r="J24" s="40">
        <f>C24*I24</f>
        <v>0</v>
      </c>
    </row>
    <row r="25" spans="1:10" ht="21" customHeight="1">
      <c r="A25" s="89"/>
      <c r="B25" s="38" t="s">
        <v>362</v>
      </c>
      <c r="C25" s="38"/>
      <c r="D25" s="38" t="s">
        <v>14</v>
      </c>
      <c r="E25" s="46"/>
      <c r="F25" s="40">
        <f t="shared" si="0"/>
        <v>0</v>
      </c>
      <c r="G25" s="46"/>
      <c r="H25" s="40">
        <f t="shared" si="1"/>
        <v>0</v>
      </c>
      <c r="I25" s="46">
        <v>25</v>
      </c>
      <c r="J25" s="40">
        <f t="shared" si="2"/>
        <v>0</v>
      </c>
    </row>
    <row r="26" spans="1:10" ht="21" customHeight="1">
      <c r="A26" s="89"/>
      <c r="B26" s="38" t="s">
        <v>363</v>
      </c>
      <c r="C26" s="38"/>
      <c r="D26" s="38" t="s">
        <v>16</v>
      </c>
      <c r="E26" s="46"/>
      <c r="F26" s="40">
        <f t="shared" si="0"/>
        <v>0</v>
      </c>
      <c r="G26" s="46"/>
      <c r="H26" s="40">
        <f t="shared" si="1"/>
        <v>0</v>
      </c>
      <c r="I26" s="46">
        <v>80</v>
      </c>
      <c r="J26" s="40">
        <f t="shared" si="2"/>
        <v>0</v>
      </c>
    </row>
    <row r="27" spans="1:10" ht="21" customHeight="1" thickBot="1">
      <c r="A27" s="89"/>
      <c r="B27" s="38" t="s">
        <v>272</v>
      </c>
      <c r="C27" s="38"/>
      <c r="D27" s="38" t="s">
        <v>15</v>
      </c>
      <c r="E27" s="46"/>
      <c r="F27" s="40">
        <f>C27*E27</f>
        <v>0</v>
      </c>
      <c r="G27" s="46"/>
      <c r="H27" s="40">
        <f>C27*G27</f>
        <v>0</v>
      </c>
      <c r="I27" s="46"/>
      <c r="J27" s="40">
        <f>C27*I27</f>
        <v>0</v>
      </c>
    </row>
    <row r="28" spans="1:10" ht="21" customHeight="1" thickTop="1">
      <c r="A28" s="89"/>
      <c r="B28" s="85"/>
      <c r="C28" s="38"/>
      <c r="D28" s="38"/>
      <c r="E28" s="90"/>
      <c r="F28" s="104">
        <f>SUM(F21:F27)</f>
        <v>0</v>
      </c>
      <c r="G28" s="90"/>
      <c r="H28" s="104">
        <f>SUM(H21:H27)</f>
        <v>0</v>
      </c>
      <c r="I28" s="90"/>
      <c r="J28" s="104">
        <f>SUM(J21:J27)</f>
        <v>0</v>
      </c>
    </row>
    <row r="29" spans="1:10" ht="21" customHeight="1">
      <c r="A29" s="89"/>
      <c r="B29" s="231" t="s">
        <v>515</v>
      </c>
      <c r="C29" s="233">
        <f>SUM(F28,H28,J28)</f>
        <v>0</v>
      </c>
      <c r="D29" s="38"/>
      <c r="E29" s="46"/>
      <c r="F29" s="40"/>
      <c r="G29" s="46"/>
      <c r="H29" s="40"/>
      <c r="I29" s="46"/>
      <c r="J29" s="40"/>
    </row>
    <row r="30" spans="1:10" ht="12" customHeight="1">
      <c r="A30" s="89"/>
      <c r="B30" s="130"/>
      <c r="C30" s="75"/>
      <c r="D30" s="89"/>
      <c r="E30" s="102"/>
      <c r="F30" s="103"/>
      <c r="G30" s="102"/>
      <c r="H30" s="103"/>
      <c r="I30" s="102"/>
      <c r="J30" s="103"/>
    </row>
    <row r="31" spans="1:10" ht="21" customHeight="1">
      <c r="A31" s="89"/>
      <c r="B31" s="110" t="s">
        <v>284</v>
      </c>
      <c r="C31" s="38"/>
      <c r="D31" s="38"/>
      <c r="E31" s="46"/>
      <c r="F31" s="40"/>
      <c r="G31" s="46"/>
      <c r="H31" s="40"/>
      <c r="I31" s="46"/>
      <c r="J31" s="40"/>
    </row>
    <row r="32" spans="1:10" ht="21" customHeight="1">
      <c r="A32" s="89"/>
      <c r="B32" s="38" t="s">
        <v>272</v>
      </c>
      <c r="C32" s="38"/>
      <c r="D32" s="38" t="s">
        <v>15</v>
      </c>
      <c r="E32" s="46"/>
      <c r="F32" s="40">
        <f>C32*E32</f>
        <v>0</v>
      </c>
      <c r="G32" s="46"/>
      <c r="H32" s="40">
        <f>C32*G32</f>
        <v>0</v>
      </c>
      <c r="I32" s="46"/>
      <c r="J32" s="40">
        <f>C32*I32</f>
        <v>0</v>
      </c>
    </row>
    <row r="33" spans="1:10" ht="21" customHeight="1" thickBot="1">
      <c r="A33" s="89"/>
      <c r="B33" s="38" t="s">
        <v>272</v>
      </c>
      <c r="C33" s="38"/>
      <c r="D33" s="38"/>
      <c r="E33" s="46"/>
      <c r="F33" s="40">
        <f>C33*E33</f>
        <v>0</v>
      </c>
      <c r="G33" s="46"/>
      <c r="H33" s="40">
        <f>C33*G33</f>
        <v>0</v>
      </c>
      <c r="I33" s="46"/>
      <c r="J33" s="40">
        <f>C33*I33</f>
        <v>0</v>
      </c>
    </row>
    <row r="34" spans="1:10" ht="21" customHeight="1" thickTop="1">
      <c r="A34" s="89"/>
      <c r="B34" s="85"/>
      <c r="C34" s="38"/>
      <c r="D34" s="38"/>
      <c r="E34" s="90"/>
      <c r="F34" s="104">
        <f>SUM(F32:F33)</f>
        <v>0</v>
      </c>
      <c r="G34" s="90"/>
      <c r="H34" s="104">
        <f>SUM(H32:H33)</f>
        <v>0</v>
      </c>
      <c r="I34" s="90"/>
      <c r="J34" s="104">
        <f>SUM(J32:J33)</f>
        <v>0</v>
      </c>
    </row>
    <row r="35" spans="1:10" ht="21" customHeight="1">
      <c r="A35" s="89"/>
      <c r="B35" s="231" t="s">
        <v>516</v>
      </c>
      <c r="C35" s="233">
        <f>SUM(F34,H34,J34)</f>
        <v>0</v>
      </c>
      <c r="D35" s="38"/>
      <c r="E35" s="46"/>
      <c r="F35" s="40"/>
      <c r="G35" s="46"/>
      <c r="H35" s="40"/>
      <c r="I35" s="46"/>
      <c r="J35" s="40"/>
    </row>
    <row r="36" spans="1:10" ht="12" customHeight="1">
      <c r="A36" s="89"/>
      <c r="B36" s="130"/>
      <c r="C36" s="75"/>
      <c r="D36" s="89"/>
      <c r="E36" s="102"/>
      <c r="F36" s="103"/>
      <c r="G36" s="102"/>
      <c r="H36" s="103"/>
      <c r="I36" s="102"/>
      <c r="J36" s="103"/>
    </row>
    <row r="37" spans="1:10" ht="21" customHeight="1">
      <c r="A37" s="89"/>
      <c r="B37" s="110" t="s">
        <v>285</v>
      </c>
      <c r="C37" s="38"/>
      <c r="D37" s="38"/>
      <c r="E37" s="46"/>
      <c r="F37" s="40"/>
      <c r="G37" s="46"/>
      <c r="H37" s="40"/>
      <c r="I37" s="46"/>
      <c r="J37" s="40"/>
    </row>
    <row r="38" spans="1:10" ht="21" customHeight="1">
      <c r="A38" s="89"/>
      <c r="B38" s="38" t="s">
        <v>356</v>
      </c>
      <c r="C38" s="38"/>
      <c r="D38" s="38" t="s">
        <v>15</v>
      </c>
      <c r="E38" s="46"/>
      <c r="F38" s="40">
        <f>C38*E38</f>
        <v>0</v>
      </c>
      <c r="G38" s="46"/>
      <c r="H38" s="40">
        <f>C38*G38</f>
        <v>0</v>
      </c>
      <c r="I38" s="46">
        <v>3120</v>
      </c>
      <c r="J38" s="40">
        <f>C38*I38</f>
        <v>0</v>
      </c>
    </row>
    <row r="39" spans="1:10" ht="21" customHeight="1" thickBot="1">
      <c r="A39" s="89"/>
      <c r="B39" s="38" t="s">
        <v>272</v>
      </c>
      <c r="C39" s="38"/>
      <c r="D39" s="38" t="s">
        <v>15</v>
      </c>
      <c r="E39" s="46"/>
      <c r="F39" s="40">
        <f>C39*E39</f>
        <v>0</v>
      </c>
      <c r="G39" s="46"/>
      <c r="H39" s="40">
        <f>C39*G39</f>
        <v>0</v>
      </c>
      <c r="I39" s="46"/>
      <c r="J39" s="40">
        <f>C39*I39</f>
        <v>0</v>
      </c>
    </row>
    <row r="40" spans="1:10" ht="21" customHeight="1" thickTop="1">
      <c r="A40" s="89"/>
      <c r="B40" s="85"/>
      <c r="C40" s="38"/>
      <c r="D40" s="38"/>
      <c r="E40" s="90"/>
      <c r="F40" s="104">
        <f>SUM(F38:F39)</f>
        <v>0</v>
      </c>
      <c r="G40" s="90"/>
      <c r="H40" s="104">
        <f>SUM(H38:H39)</f>
        <v>0</v>
      </c>
      <c r="I40" s="90"/>
      <c r="J40" s="104">
        <f>SUM(J38:J39)</f>
        <v>0</v>
      </c>
    </row>
    <row r="41" spans="1:10" ht="21" customHeight="1">
      <c r="A41" s="89"/>
      <c r="B41" s="231" t="s">
        <v>517</v>
      </c>
      <c r="C41" s="233">
        <f>SUM(F40,H40,J40)</f>
        <v>0</v>
      </c>
      <c r="D41" s="38"/>
      <c r="E41" s="46"/>
      <c r="F41" s="40"/>
      <c r="G41" s="46"/>
      <c r="H41" s="40"/>
      <c r="I41" s="46"/>
      <c r="J41" s="40"/>
    </row>
    <row r="42" spans="1:10" ht="12" customHeight="1">
      <c r="A42" s="89"/>
      <c r="B42" s="130"/>
      <c r="C42" s="75"/>
      <c r="D42" s="89"/>
      <c r="E42" s="102"/>
      <c r="F42" s="103"/>
      <c r="G42" s="102"/>
      <c r="H42" s="103"/>
      <c r="I42" s="102"/>
      <c r="J42" s="103"/>
    </row>
    <row r="43" spans="1:10" ht="21" customHeight="1">
      <c r="A43" s="89"/>
      <c r="B43" s="110" t="s">
        <v>286</v>
      </c>
      <c r="C43" s="38"/>
      <c r="D43" s="38"/>
      <c r="E43" s="46"/>
      <c r="F43" s="40"/>
      <c r="G43" s="46"/>
      <c r="H43" s="40"/>
      <c r="I43" s="46"/>
      <c r="J43" s="40"/>
    </row>
    <row r="44" spans="1:10" ht="21" customHeight="1">
      <c r="A44" s="89"/>
      <c r="B44" s="38" t="s">
        <v>272</v>
      </c>
      <c r="C44" s="38"/>
      <c r="D44" s="38" t="s">
        <v>16</v>
      </c>
      <c r="E44" s="46"/>
      <c r="F44" s="40">
        <f>C44*E44</f>
        <v>0</v>
      </c>
      <c r="G44" s="46"/>
      <c r="H44" s="40">
        <f>C44*G44</f>
        <v>0</v>
      </c>
      <c r="I44" s="46"/>
      <c r="J44" s="40">
        <f>C44*I44</f>
        <v>0</v>
      </c>
    </row>
    <row r="45" spans="1:10" ht="21" customHeight="1" thickBot="1">
      <c r="A45" s="89"/>
      <c r="B45" s="38" t="s">
        <v>272</v>
      </c>
      <c r="C45" s="38"/>
      <c r="D45" s="38"/>
      <c r="E45" s="46"/>
      <c r="F45" s="40">
        <f>C45*E45</f>
        <v>0</v>
      </c>
      <c r="G45" s="46"/>
      <c r="H45" s="40">
        <f>C45*G45</f>
        <v>0</v>
      </c>
      <c r="I45" s="46"/>
      <c r="J45" s="40">
        <f>C45*I45</f>
        <v>0</v>
      </c>
    </row>
    <row r="46" spans="1:10" ht="21" customHeight="1" thickTop="1">
      <c r="A46" s="89"/>
      <c r="B46" s="85"/>
      <c r="C46" s="38"/>
      <c r="D46" s="38"/>
      <c r="E46" s="90"/>
      <c r="F46" s="104">
        <f>SUM(F44:F45)</f>
        <v>0</v>
      </c>
      <c r="G46" s="90"/>
      <c r="H46" s="104">
        <f>SUM(H44:H45)</f>
        <v>0</v>
      </c>
      <c r="I46" s="90"/>
      <c r="J46" s="104">
        <f>SUM(J44:J45)</f>
        <v>0</v>
      </c>
    </row>
    <row r="47" spans="1:10" ht="21" customHeight="1">
      <c r="A47" s="89"/>
      <c r="B47" s="231" t="s">
        <v>518</v>
      </c>
      <c r="C47" s="233">
        <f>SUM(F46,H46,J46)</f>
        <v>0</v>
      </c>
      <c r="D47" s="38"/>
      <c r="E47" s="46"/>
      <c r="F47" s="40"/>
      <c r="G47" s="46"/>
      <c r="H47" s="40"/>
      <c r="I47" s="46"/>
      <c r="J47" s="40"/>
    </row>
    <row r="48" spans="1:10" ht="12" customHeight="1">
      <c r="A48" s="89"/>
      <c r="B48" s="130"/>
      <c r="C48" s="75"/>
      <c r="D48" s="89"/>
      <c r="E48" s="102"/>
      <c r="F48" s="103"/>
      <c r="G48" s="102"/>
      <c r="H48" s="103"/>
      <c r="I48" s="102"/>
      <c r="J48" s="103"/>
    </row>
    <row r="49" spans="1:10" ht="21" customHeight="1">
      <c r="A49" s="89"/>
      <c r="B49" s="110" t="s">
        <v>533</v>
      </c>
      <c r="C49" s="38"/>
      <c r="D49" s="38"/>
      <c r="E49" s="46"/>
      <c r="F49" s="40"/>
      <c r="G49" s="46"/>
      <c r="H49" s="40"/>
      <c r="I49" s="46"/>
      <c r="J49" s="40"/>
    </row>
    <row r="50" spans="1:10" ht="21" customHeight="1" thickBot="1">
      <c r="A50" s="89"/>
      <c r="B50" s="38" t="s">
        <v>272</v>
      </c>
      <c r="C50" s="38"/>
      <c r="D50" s="38" t="s">
        <v>15</v>
      </c>
      <c r="E50" s="46"/>
      <c r="F50" s="40">
        <f>C50*E50</f>
        <v>0</v>
      </c>
      <c r="G50" s="46"/>
      <c r="H50" s="40">
        <f>C50*G50</f>
        <v>0</v>
      </c>
      <c r="I50" s="46">
        <v>125</v>
      </c>
      <c r="J50" s="40">
        <f>C50*I50</f>
        <v>0</v>
      </c>
    </row>
    <row r="51" spans="1:10" ht="20.25" customHeight="1" thickTop="1">
      <c r="A51" s="89"/>
      <c r="B51" s="85"/>
      <c r="C51" s="38"/>
      <c r="D51" s="38"/>
      <c r="E51" s="90"/>
      <c r="F51" s="104">
        <f>SUM(F50:F50)</f>
        <v>0</v>
      </c>
      <c r="G51" s="90"/>
      <c r="H51" s="104">
        <f>SUM(H50:H50)</f>
        <v>0</v>
      </c>
      <c r="I51" s="90"/>
      <c r="J51" s="104">
        <f>SUM(J50:J50)</f>
        <v>0</v>
      </c>
    </row>
    <row r="52" spans="1:10" ht="20.25" customHeight="1">
      <c r="A52" s="89"/>
      <c r="B52" s="231" t="s">
        <v>534</v>
      </c>
      <c r="C52" s="233">
        <f>SUM(F51,H51,J51)</f>
        <v>0</v>
      </c>
      <c r="D52" s="38"/>
      <c r="E52" s="46"/>
      <c r="F52" s="40"/>
      <c r="G52" s="46"/>
      <c r="H52" s="40"/>
      <c r="I52" s="46"/>
      <c r="J52" s="40"/>
    </row>
  </sheetData>
  <sheetProtection/>
  <mergeCells count="1">
    <mergeCell ref="F2:G2"/>
  </mergeCells>
  <printOptions/>
  <pageMargins left="0.25" right="0" top="1" bottom="0" header="0.5" footer="0"/>
  <pageSetup horizontalDpi="300" verticalDpi="300" orientation="landscape" r:id="rId1"/>
  <headerFooter alignWithMargins="0">
    <oddHeader>&amp;RPage &amp;P of 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1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9.57421875" style="0" bestFit="1" customWidth="1"/>
    <col min="2" max="2" width="44.7109375" style="0" bestFit="1" customWidth="1"/>
    <col min="3" max="3" width="9.00390625" style="0" customWidth="1"/>
    <col min="5" max="5" width="4.8515625" style="0" customWidth="1"/>
    <col min="7" max="7" width="5.00390625" style="0" customWidth="1"/>
    <col min="8" max="8" width="14.00390625" style="0" bestFit="1" customWidth="1"/>
    <col min="9" max="9" width="9.57421875" style="0" bestFit="1" customWidth="1"/>
    <col min="10" max="10" width="13.140625" style="0" customWidth="1"/>
  </cols>
  <sheetData>
    <row r="1" spans="1:8" s="45" customFormat="1" ht="12.75">
      <c r="A1" s="166" t="s">
        <v>446</v>
      </c>
      <c r="B1" s="195">
        <f>Spread!B1</f>
        <v>0</v>
      </c>
      <c r="C1" s="165" t="s">
        <v>370</v>
      </c>
      <c r="D1" s="196" t="e">
        <f>Spread!#REF!</f>
        <v>#REF!</v>
      </c>
      <c r="E1"/>
      <c r="F1" s="165" t="s">
        <v>371</v>
      </c>
      <c r="G1" s="51"/>
      <c r="H1" s="170" t="e">
        <f>Spread!#REF!</f>
        <v>#REF!</v>
      </c>
    </row>
    <row r="2" spans="1:8" s="45" customFormat="1" ht="12.75">
      <c r="A2" s="166"/>
      <c r="B2" s="195" t="e">
        <f>Spread!#REF!</f>
        <v>#REF!</v>
      </c>
      <c r="C2" s="51"/>
      <c r="D2" s="51"/>
      <c r="E2"/>
      <c r="F2" s="476" t="s">
        <v>447</v>
      </c>
      <c r="G2" s="476"/>
      <c r="H2" s="197" t="e">
        <f>Spread!#REF!</f>
        <v>#REF!</v>
      </c>
    </row>
    <row r="3" spans="1:9" s="45" customFormat="1" ht="12.75" customHeight="1">
      <c r="A3" s="168"/>
      <c r="B3" s="195">
        <f>Spread!B3</f>
        <v>0</v>
      </c>
      <c r="C3" s="165" t="s">
        <v>445</v>
      </c>
      <c r="D3" s="51" t="e">
        <f>Spread!#REF!</f>
        <v>#REF!</v>
      </c>
      <c r="E3" s="51"/>
      <c r="F3" s="51"/>
      <c r="G3" s="51"/>
      <c r="H3" s="51"/>
      <c r="I3" s="118"/>
    </row>
    <row r="4" s="45" customFormat="1" ht="12" customHeight="1">
      <c r="B4" s="119"/>
    </row>
    <row r="5" spans="1:10" s="45" customFormat="1" ht="12.75" customHeight="1">
      <c r="A5" s="120" t="s">
        <v>7</v>
      </c>
      <c r="B5" s="120" t="s">
        <v>0</v>
      </c>
      <c r="C5" s="120" t="s">
        <v>8</v>
      </c>
      <c r="D5" s="120" t="s">
        <v>9</v>
      </c>
      <c r="E5" s="121" t="s">
        <v>2</v>
      </c>
      <c r="F5" s="122"/>
      <c r="G5" s="121" t="s">
        <v>1</v>
      </c>
      <c r="H5" s="122"/>
      <c r="I5" s="121" t="s">
        <v>10</v>
      </c>
      <c r="J5" s="122"/>
    </row>
    <row r="6" spans="1:10" s="45" customFormat="1" ht="12.75" customHeight="1" thickBot="1">
      <c r="A6" s="123"/>
      <c r="B6" s="123"/>
      <c r="C6" s="123"/>
      <c r="D6" s="123"/>
      <c r="E6" s="124" t="s">
        <v>11</v>
      </c>
      <c r="F6" s="123" t="s">
        <v>12</v>
      </c>
      <c r="G6" s="124" t="s">
        <v>11</v>
      </c>
      <c r="H6" s="123" t="s">
        <v>12</v>
      </c>
      <c r="I6" s="124" t="s">
        <v>13</v>
      </c>
      <c r="J6" s="123" t="s">
        <v>12</v>
      </c>
    </row>
    <row r="7" spans="1:10" ht="21" customHeight="1" thickTop="1">
      <c r="A7" s="38"/>
      <c r="B7" s="137" t="s">
        <v>549</v>
      </c>
      <c r="C7" s="38"/>
      <c r="D7" s="38"/>
      <c r="E7" s="46"/>
      <c r="F7" s="40"/>
      <c r="G7" s="46"/>
      <c r="H7" s="40"/>
      <c r="I7" s="46"/>
      <c r="J7" s="40"/>
    </row>
    <row r="8" spans="1:10" ht="21" customHeight="1">
      <c r="A8" s="38"/>
      <c r="B8" s="89" t="s">
        <v>550</v>
      </c>
      <c r="C8" s="38"/>
      <c r="D8" s="38" t="s">
        <v>15</v>
      </c>
      <c r="E8" s="46"/>
      <c r="F8" s="40">
        <f>C8*E8</f>
        <v>0</v>
      </c>
      <c r="G8" s="46"/>
      <c r="H8" s="40">
        <f>C8*G8</f>
        <v>0</v>
      </c>
      <c r="I8" s="46">
        <v>250000</v>
      </c>
      <c r="J8" s="40">
        <f>C8*I8</f>
        <v>0</v>
      </c>
    </row>
    <row r="9" spans="1:10" ht="21" customHeight="1" thickBot="1">
      <c r="A9" s="38"/>
      <c r="B9" s="89" t="s">
        <v>551</v>
      </c>
      <c r="C9" s="38"/>
      <c r="D9" s="38" t="s">
        <v>15</v>
      </c>
      <c r="E9" s="46"/>
      <c r="F9" s="40">
        <f>C9*E9</f>
        <v>0</v>
      </c>
      <c r="G9" s="46"/>
      <c r="H9" s="40">
        <f>C9*G9</f>
        <v>0</v>
      </c>
      <c r="I9" s="46">
        <v>250000</v>
      </c>
      <c r="J9" s="40">
        <f>C9*I9</f>
        <v>0</v>
      </c>
    </row>
    <row r="10" spans="1:10" ht="21" customHeight="1" thickTop="1">
      <c r="A10" s="38"/>
      <c r="B10" s="89"/>
      <c r="C10" s="38"/>
      <c r="D10" s="38"/>
      <c r="E10" s="90"/>
      <c r="F10" s="104">
        <f>SUM(F8:F8)</f>
        <v>0</v>
      </c>
      <c r="G10" s="90"/>
      <c r="H10" s="104">
        <f>SUM(H8:H8)</f>
        <v>0</v>
      </c>
      <c r="I10" s="90"/>
      <c r="J10" s="104">
        <f>SUM(J8:J8)</f>
        <v>0</v>
      </c>
    </row>
    <row r="11" spans="1:10" ht="21" customHeight="1">
      <c r="A11" s="38"/>
      <c r="B11" s="239" t="s">
        <v>552</v>
      </c>
      <c r="C11" s="232">
        <f>SUM(F10,H10,J10)</f>
        <v>0</v>
      </c>
      <c r="D11" s="38"/>
      <c r="E11" s="46"/>
      <c r="F11" s="40"/>
      <c r="G11" s="46"/>
      <c r="H11" s="40"/>
      <c r="I11" s="46"/>
      <c r="J11" s="40"/>
    </row>
    <row r="12" spans="1:10" ht="12" customHeight="1">
      <c r="A12" s="89"/>
      <c r="B12" s="130"/>
      <c r="C12" s="75"/>
      <c r="D12" s="89"/>
      <c r="E12" s="102"/>
      <c r="F12" s="103"/>
      <c r="G12" s="102"/>
      <c r="H12" s="103"/>
      <c r="I12" s="102"/>
      <c r="J12" s="103"/>
    </row>
    <row r="13" spans="1:10" ht="21" customHeight="1">
      <c r="A13" s="38"/>
      <c r="B13" s="105" t="s">
        <v>271</v>
      </c>
      <c r="C13" s="38"/>
      <c r="D13" s="38"/>
      <c r="E13" s="46"/>
      <c r="F13" s="40"/>
      <c r="G13" s="46"/>
      <c r="H13" s="40"/>
      <c r="I13" s="46"/>
      <c r="J13" s="40"/>
    </row>
    <row r="14" spans="1:10" ht="21" customHeight="1" thickBot="1">
      <c r="A14" s="38"/>
      <c r="B14" s="89" t="s">
        <v>358</v>
      </c>
      <c r="C14" s="38"/>
      <c r="D14" s="38" t="s">
        <v>357</v>
      </c>
      <c r="E14" s="46"/>
      <c r="F14" s="40">
        <f>C14*E14</f>
        <v>0</v>
      </c>
      <c r="G14" s="46"/>
      <c r="H14" s="40">
        <f>C14*G14</f>
        <v>0</v>
      </c>
      <c r="I14" s="46">
        <v>44000</v>
      </c>
      <c r="J14" s="40">
        <f>C14*I14</f>
        <v>0</v>
      </c>
    </row>
    <row r="15" spans="1:10" ht="21" customHeight="1" thickTop="1">
      <c r="A15" s="38"/>
      <c r="B15" s="89"/>
      <c r="C15" s="38"/>
      <c r="D15" s="38"/>
      <c r="E15" s="90"/>
      <c r="F15" s="104">
        <f>SUM(F14:F14)</f>
        <v>0</v>
      </c>
      <c r="G15" s="90"/>
      <c r="H15" s="104">
        <f>SUM(H14:H14)</f>
        <v>0</v>
      </c>
      <c r="I15" s="90"/>
      <c r="J15" s="104">
        <f>SUM(J14:J14)</f>
        <v>0</v>
      </c>
    </row>
    <row r="16" spans="1:10" ht="21" customHeight="1">
      <c r="A16" s="38"/>
      <c r="B16" s="239" t="s">
        <v>519</v>
      </c>
      <c r="C16" s="232">
        <f>SUM(F15,H15,J15)</f>
        <v>0</v>
      </c>
      <c r="D16" s="38"/>
      <c r="E16" s="46"/>
      <c r="F16" s="40"/>
      <c r="G16" s="46"/>
      <c r="H16" s="40"/>
      <c r="I16" s="46"/>
      <c r="J16" s="40"/>
    </row>
  </sheetData>
  <sheetProtection/>
  <mergeCells count="1">
    <mergeCell ref="F2:G2"/>
  </mergeCells>
  <printOptions/>
  <pageMargins left="0.25" right="0" top="0.25" bottom="0.25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P6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O13" sqref="O13"/>
    </sheetView>
  </sheetViews>
  <sheetFormatPr defaultColWidth="9.140625" defaultRowHeight="12.75"/>
  <cols>
    <col min="1" max="1" width="9.57421875" style="0" bestFit="1" customWidth="1"/>
    <col min="2" max="2" width="44.7109375" style="0" bestFit="1" customWidth="1"/>
    <col min="3" max="3" width="10.28125" style="0" customWidth="1"/>
    <col min="5" max="5" width="7.28125" style="17" customWidth="1"/>
    <col min="6" max="6" width="8.7109375" style="0" customWidth="1"/>
    <col min="7" max="7" width="7.00390625" style="17" customWidth="1"/>
    <col min="8" max="8" width="14.00390625" style="0" bestFit="1" customWidth="1"/>
    <col min="9" max="9" width="8.57421875" style="17" customWidth="1"/>
    <col min="10" max="10" width="10.28125" style="0" customWidth="1"/>
  </cols>
  <sheetData>
    <row r="1" spans="1:8" s="45" customFormat="1" ht="12.75">
      <c r="A1" s="166" t="s">
        <v>446</v>
      </c>
      <c r="B1" s="195">
        <f>Spread!B1</f>
        <v>0</v>
      </c>
      <c r="C1" s="165" t="s">
        <v>370</v>
      </c>
      <c r="D1" s="196" t="e">
        <f>Spread!#REF!</f>
        <v>#REF!</v>
      </c>
      <c r="E1"/>
      <c r="F1" s="165" t="s">
        <v>371</v>
      </c>
      <c r="G1" s="51"/>
      <c r="H1" s="170" t="e">
        <f>Spread!#REF!</f>
        <v>#REF!</v>
      </c>
    </row>
    <row r="2" spans="1:8" s="45" customFormat="1" ht="12.75">
      <c r="A2" s="166"/>
      <c r="B2" s="195" t="e">
        <f>Spread!#REF!</f>
        <v>#REF!</v>
      </c>
      <c r="C2" s="51"/>
      <c r="D2" s="51"/>
      <c r="E2"/>
      <c r="F2" s="476" t="s">
        <v>447</v>
      </c>
      <c r="G2" s="476"/>
      <c r="H2" s="197" t="e">
        <f>Spread!#REF!</f>
        <v>#REF!</v>
      </c>
    </row>
    <row r="3" spans="1:9" s="45" customFormat="1" ht="12.75" customHeight="1">
      <c r="A3" s="168"/>
      <c r="B3" s="195">
        <f>Spread!B3</f>
        <v>0</v>
      </c>
      <c r="C3" s="165" t="s">
        <v>445</v>
      </c>
      <c r="D3" s="51" t="e">
        <f>Spread!#REF!</f>
        <v>#REF!</v>
      </c>
      <c r="E3" s="51"/>
      <c r="F3" s="51"/>
      <c r="G3" s="51"/>
      <c r="H3" s="51"/>
      <c r="I3" s="118"/>
    </row>
    <row r="4" s="45" customFormat="1" ht="12" customHeight="1"/>
    <row r="5" spans="1:10" ht="12.75" customHeight="1">
      <c r="A5" s="1" t="s">
        <v>7</v>
      </c>
      <c r="B5" s="1" t="s">
        <v>0</v>
      </c>
      <c r="C5" s="1" t="s">
        <v>8</v>
      </c>
      <c r="D5" s="1" t="s">
        <v>9</v>
      </c>
      <c r="E5" s="18" t="s">
        <v>2</v>
      </c>
      <c r="F5" s="2"/>
      <c r="G5" s="18" t="s">
        <v>1</v>
      </c>
      <c r="H5" s="2"/>
      <c r="I5" s="18" t="s">
        <v>10</v>
      </c>
      <c r="J5" s="2"/>
    </row>
    <row r="6" spans="1:10" ht="12.75" customHeight="1" thickBot="1">
      <c r="A6" s="3"/>
      <c r="B6" s="63"/>
      <c r="C6" s="3"/>
      <c r="D6" s="3"/>
      <c r="E6" s="19" t="s">
        <v>11</v>
      </c>
      <c r="F6" s="3" t="s">
        <v>12</v>
      </c>
      <c r="G6" s="19" t="s">
        <v>11</v>
      </c>
      <c r="H6" s="3" t="s">
        <v>12</v>
      </c>
      <c r="I6" s="19" t="s">
        <v>13</v>
      </c>
      <c r="J6" s="3" t="s">
        <v>12</v>
      </c>
    </row>
    <row r="7" spans="1:10" ht="21" customHeight="1" thickTop="1">
      <c r="A7" s="5"/>
      <c r="B7" s="62" t="s">
        <v>80</v>
      </c>
      <c r="C7" s="35"/>
      <c r="D7" s="5"/>
      <c r="E7" s="8"/>
      <c r="F7" s="11"/>
      <c r="G7" s="8"/>
      <c r="H7" s="11"/>
      <c r="I7" s="8"/>
      <c r="J7" s="11"/>
    </row>
    <row r="8" spans="1:10" ht="21" customHeight="1">
      <c r="A8" s="5"/>
      <c r="B8" s="5" t="s">
        <v>81</v>
      </c>
      <c r="C8" s="38"/>
      <c r="D8" s="5" t="s">
        <v>15</v>
      </c>
      <c r="E8" s="8"/>
      <c r="F8" s="11">
        <f>C8*E8</f>
        <v>0</v>
      </c>
      <c r="G8" s="8"/>
      <c r="H8" s="11">
        <f>C8*G8</f>
        <v>0</v>
      </c>
      <c r="I8" s="47">
        <v>15000</v>
      </c>
      <c r="J8" s="11">
        <f>C8*I8</f>
        <v>0</v>
      </c>
    </row>
    <row r="9" spans="1:16" ht="21" customHeight="1" thickBot="1">
      <c r="A9" s="5"/>
      <c r="B9" s="5" t="s">
        <v>82</v>
      </c>
      <c r="C9" s="38"/>
      <c r="D9" s="5" t="s">
        <v>14</v>
      </c>
      <c r="E9" s="8"/>
      <c r="F9" s="11">
        <f>C9*E9</f>
        <v>0</v>
      </c>
      <c r="G9" s="8"/>
      <c r="H9" s="11">
        <f>C9*G9</f>
        <v>0</v>
      </c>
      <c r="I9" s="8">
        <v>2.5</v>
      </c>
      <c r="J9" s="11">
        <f>C9*I9</f>
        <v>0</v>
      </c>
      <c r="L9" s="45"/>
      <c r="M9" s="45"/>
      <c r="N9" s="45"/>
      <c r="O9" s="45"/>
      <c r="P9" s="45"/>
    </row>
    <row r="10" spans="1:10" ht="21" customHeight="1" thickTop="1">
      <c r="A10" s="36"/>
      <c r="B10" s="13"/>
      <c r="C10" s="60"/>
      <c r="D10" s="36"/>
      <c r="E10" s="56"/>
      <c r="F10" s="57">
        <f>SUM(F8:F9)</f>
        <v>0</v>
      </c>
      <c r="G10" s="56"/>
      <c r="H10" s="57">
        <f>SUM(H8:H9)</f>
        <v>0</v>
      </c>
      <c r="I10" s="56"/>
      <c r="J10" s="57">
        <f>SUM(J8:J9)</f>
        <v>0</v>
      </c>
    </row>
    <row r="11" spans="1:10" ht="21" customHeight="1">
      <c r="A11" s="36"/>
      <c r="B11" s="237" t="s">
        <v>520</v>
      </c>
      <c r="C11" s="240">
        <f>SUM($F10+$H10+$J10)</f>
        <v>0</v>
      </c>
      <c r="D11" s="36"/>
      <c r="E11" s="29"/>
      <c r="F11" s="11"/>
      <c r="G11" s="8"/>
      <c r="H11" s="11"/>
      <c r="I11" s="8"/>
      <c r="J11" s="11"/>
    </row>
    <row r="12" spans="1:10" ht="12" customHeight="1">
      <c r="A12" s="31"/>
      <c r="B12" s="5"/>
      <c r="C12" s="38"/>
      <c r="D12" s="5"/>
      <c r="E12" s="29"/>
      <c r="F12" s="28"/>
      <c r="G12" s="29"/>
      <c r="H12" s="28"/>
      <c r="I12" s="29"/>
      <c r="J12" s="28"/>
    </row>
    <row r="13" spans="1:10" ht="21" customHeight="1">
      <c r="A13" s="5"/>
      <c r="B13" s="62" t="s">
        <v>83</v>
      </c>
      <c r="C13" s="35"/>
      <c r="D13" s="5"/>
      <c r="E13" s="8"/>
      <c r="F13" s="11"/>
      <c r="G13" s="8"/>
      <c r="H13" s="11"/>
      <c r="I13" s="8"/>
      <c r="J13" s="11"/>
    </row>
    <row r="14" spans="1:16" ht="21" customHeight="1">
      <c r="A14" s="5"/>
      <c r="B14" s="5" t="s">
        <v>84</v>
      </c>
      <c r="C14" s="38"/>
      <c r="D14" s="5" t="s">
        <v>79</v>
      </c>
      <c r="E14" s="8"/>
      <c r="F14" s="11">
        <f>C14*E14</f>
        <v>0</v>
      </c>
      <c r="G14" s="8"/>
      <c r="H14" s="11">
        <f>C14*G14</f>
        <v>0</v>
      </c>
      <c r="I14" s="8">
        <v>150</v>
      </c>
      <c r="J14" s="11">
        <f>C14*I14</f>
        <v>0</v>
      </c>
      <c r="L14" s="45"/>
      <c r="M14" s="45"/>
      <c r="N14" s="45"/>
      <c r="O14" s="45"/>
      <c r="P14" s="45"/>
    </row>
    <row r="15" spans="1:16" ht="21" customHeight="1">
      <c r="A15" s="5"/>
      <c r="B15" s="5" t="s">
        <v>78</v>
      </c>
      <c r="C15" s="38"/>
      <c r="D15" s="5" t="s">
        <v>14</v>
      </c>
      <c r="E15" s="8"/>
      <c r="F15" s="11">
        <f>C15*E15</f>
        <v>0</v>
      </c>
      <c r="G15" s="8"/>
      <c r="H15" s="11">
        <f>C15*G15</f>
        <v>0</v>
      </c>
      <c r="I15" s="8">
        <v>19</v>
      </c>
      <c r="J15" s="11">
        <f>C15*I15</f>
        <v>0</v>
      </c>
      <c r="L15" s="45"/>
      <c r="M15" s="45"/>
      <c r="N15" s="45"/>
      <c r="O15" s="45"/>
      <c r="P15" s="45"/>
    </row>
    <row r="16" spans="1:16" ht="21" customHeight="1" thickBot="1">
      <c r="A16" s="5"/>
      <c r="B16" s="5" t="s">
        <v>650</v>
      </c>
      <c r="C16" s="38"/>
      <c r="D16" s="5" t="s">
        <v>79</v>
      </c>
      <c r="E16" s="8"/>
      <c r="F16" s="11">
        <f>C16*E16</f>
        <v>0</v>
      </c>
      <c r="G16" s="8"/>
      <c r="H16" s="11">
        <f>C16*G16</f>
        <v>0</v>
      </c>
      <c r="I16" s="8">
        <v>4500</v>
      </c>
      <c r="J16" s="11">
        <f>C16*I16</f>
        <v>0</v>
      </c>
      <c r="L16" s="45"/>
      <c r="M16" s="45"/>
      <c r="N16" s="45"/>
      <c r="O16" s="45"/>
      <c r="P16" s="45"/>
    </row>
    <row r="17" spans="1:10" ht="21" customHeight="1" thickTop="1">
      <c r="A17" s="36"/>
      <c r="B17" s="13"/>
      <c r="C17" s="60"/>
      <c r="D17" s="36"/>
      <c r="E17" s="56"/>
      <c r="F17" s="57">
        <f>SUM(F13:F16)</f>
        <v>0</v>
      </c>
      <c r="G17" s="56"/>
      <c r="H17" s="57">
        <f>SUM(H13:H16)</f>
        <v>0</v>
      </c>
      <c r="I17" s="56"/>
      <c r="J17" s="57">
        <f>SUM(J14:J16)</f>
        <v>0</v>
      </c>
    </row>
    <row r="18" spans="1:10" ht="21" customHeight="1">
      <c r="A18" s="36"/>
      <c r="B18" s="237" t="s">
        <v>521</v>
      </c>
      <c r="C18" s="240">
        <f>SUM($F17+$H17+$J17)</f>
        <v>0</v>
      </c>
      <c r="D18" s="36"/>
      <c r="E18" s="29"/>
      <c r="F18" s="11"/>
      <c r="G18" s="8"/>
      <c r="H18" s="11"/>
      <c r="I18" s="8"/>
      <c r="J18" s="11"/>
    </row>
    <row r="19" spans="1:10" ht="12" customHeight="1">
      <c r="A19" s="31"/>
      <c r="B19" s="5"/>
      <c r="C19" s="38"/>
      <c r="D19" s="5"/>
      <c r="E19" s="29"/>
      <c r="F19" s="28"/>
      <c r="G19" s="29"/>
      <c r="H19" s="28"/>
      <c r="I19" s="29"/>
      <c r="J19" s="28"/>
    </row>
    <row r="20" spans="1:10" ht="21" customHeight="1">
      <c r="A20" s="5"/>
      <c r="B20" s="62" t="s">
        <v>77</v>
      </c>
      <c r="C20" s="35"/>
      <c r="D20" s="5"/>
      <c r="E20" s="8"/>
      <c r="F20" s="11"/>
      <c r="G20" s="8"/>
      <c r="H20" s="11"/>
      <c r="I20" s="8"/>
      <c r="J20" s="11"/>
    </row>
    <row r="21" spans="1:16" ht="21" customHeight="1">
      <c r="A21" s="5"/>
      <c r="B21" s="5" t="s">
        <v>86</v>
      </c>
      <c r="C21" s="226"/>
      <c r="D21" s="5" t="s">
        <v>14</v>
      </c>
      <c r="E21" s="8"/>
      <c r="F21" s="11">
        <f>C21*E21</f>
        <v>0</v>
      </c>
      <c r="G21" s="8"/>
      <c r="H21" s="11">
        <f>C21*G21</f>
        <v>0</v>
      </c>
      <c r="I21" s="8">
        <v>3</v>
      </c>
      <c r="J21" s="11">
        <f>C21*I21</f>
        <v>0</v>
      </c>
      <c r="L21" s="45"/>
      <c r="M21" s="45"/>
      <c r="N21" s="45"/>
      <c r="O21" s="45"/>
      <c r="P21" s="45"/>
    </row>
    <row r="22" spans="1:16" ht="21" customHeight="1" thickBot="1">
      <c r="A22" s="5"/>
      <c r="B22" s="5" t="s">
        <v>85</v>
      </c>
      <c r="C22" s="226"/>
      <c r="D22" s="5" t="s">
        <v>14</v>
      </c>
      <c r="E22" s="8"/>
      <c r="F22" s="11">
        <f>C22*E22</f>
        <v>0</v>
      </c>
      <c r="G22" s="8"/>
      <c r="H22" s="11">
        <f>C22*G22</f>
        <v>0</v>
      </c>
      <c r="I22" s="8">
        <v>12</v>
      </c>
      <c r="J22" s="11">
        <f>C22*I22</f>
        <v>0</v>
      </c>
      <c r="L22" s="45"/>
      <c r="M22" s="45"/>
      <c r="N22" s="45"/>
      <c r="O22" s="45"/>
      <c r="P22" s="45"/>
    </row>
    <row r="23" spans="1:10" ht="21" customHeight="1" thickTop="1">
      <c r="A23" s="36"/>
      <c r="B23" s="13"/>
      <c r="C23" s="60"/>
      <c r="D23" s="36"/>
      <c r="E23" s="56"/>
      <c r="F23" s="57">
        <f>SUM(F22:F22)</f>
        <v>0</v>
      </c>
      <c r="G23" s="56"/>
      <c r="H23" s="57">
        <f>SUM(H22:H22)</f>
        <v>0</v>
      </c>
      <c r="I23" s="56"/>
      <c r="J23" s="57">
        <f>SUM(J21:J22)</f>
        <v>0</v>
      </c>
    </row>
    <row r="24" spans="1:10" ht="21" customHeight="1">
      <c r="A24" s="36"/>
      <c r="B24" s="237" t="s">
        <v>522</v>
      </c>
      <c r="C24" s="240">
        <f>SUM($F23+$H23+$J23)</f>
        <v>0</v>
      </c>
      <c r="D24" s="36"/>
      <c r="E24" s="29"/>
      <c r="F24" s="11"/>
      <c r="G24" s="8"/>
      <c r="H24" s="11"/>
      <c r="I24" s="8"/>
      <c r="J24" s="11"/>
    </row>
    <row r="25" spans="1:10" ht="12" customHeight="1">
      <c r="A25" s="31"/>
      <c r="B25" s="5"/>
      <c r="C25" s="38"/>
      <c r="D25" s="5"/>
      <c r="E25" s="29"/>
      <c r="F25" s="28"/>
      <c r="G25" s="29"/>
      <c r="H25" s="28"/>
      <c r="I25" s="29"/>
      <c r="J25" s="28"/>
    </row>
    <row r="26" spans="1:10" ht="21" customHeight="1">
      <c r="A26" s="5"/>
      <c r="B26" s="62" t="s">
        <v>87</v>
      </c>
      <c r="C26" s="35"/>
      <c r="D26" s="5"/>
      <c r="E26" s="8"/>
      <c r="F26" s="11"/>
      <c r="G26" s="8"/>
      <c r="H26" s="11"/>
      <c r="I26" s="8"/>
      <c r="J26" s="11"/>
    </row>
    <row r="27" spans="1:10" ht="21" customHeight="1">
      <c r="A27" s="5"/>
      <c r="B27" s="5" t="s">
        <v>90</v>
      </c>
      <c r="C27" s="226"/>
      <c r="D27" s="5" t="s">
        <v>14</v>
      </c>
      <c r="E27" s="8"/>
      <c r="F27" s="11">
        <f>C27*E27</f>
        <v>0</v>
      </c>
      <c r="G27" s="8"/>
      <c r="H27" s="11">
        <f>C27*G27</f>
        <v>0</v>
      </c>
      <c r="I27" s="8">
        <v>2</v>
      </c>
      <c r="J27" s="11">
        <f>C27*I27</f>
        <v>0</v>
      </c>
    </row>
    <row r="28" spans="1:10" ht="21" customHeight="1">
      <c r="A28" s="5"/>
      <c r="B28" s="5" t="s">
        <v>88</v>
      </c>
      <c r="C28" s="38"/>
      <c r="D28" s="5" t="s">
        <v>16</v>
      </c>
      <c r="E28" s="8"/>
      <c r="F28" s="11">
        <f>C28*E28</f>
        <v>0</v>
      </c>
      <c r="G28" s="8"/>
      <c r="H28" s="11">
        <f>C28*G28</f>
        <v>0</v>
      </c>
      <c r="I28" s="8">
        <v>75</v>
      </c>
      <c r="J28" s="11">
        <f>C28*I28</f>
        <v>0</v>
      </c>
    </row>
    <row r="29" spans="1:10" ht="21" customHeight="1">
      <c r="A29" s="5"/>
      <c r="B29" s="5" t="s">
        <v>91</v>
      </c>
      <c r="C29" s="38"/>
      <c r="D29" s="5" t="s">
        <v>16</v>
      </c>
      <c r="E29" s="8"/>
      <c r="F29" s="11">
        <f>C29*E29</f>
        <v>0</v>
      </c>
      <c r="G29" s="8"/>
      <c r="H29" s="11">
        <f>C29*G29</f>
        <v>0</v>
      </c>
      <c r="I29" s="8">
        <v>50</v>
      </c>
      <c r="J29" s="11">
        <f>C29*I29</f>
        <v>0</v>
      </c>
    </row>
    <row r="30" spans="1:10" ht="21" customHeight="1" thickBot="1">
      <c r="A30" s="5"/>
      <c r="B30" s="5" t="s">
        <v>89</v>
      </c>
      <c r="C30" s="226"/>
      <c r="D30" s="5" t="s">
        <v>14</v>
      </c>
      <c r="E30" s="8"/>
      <c r="F30" s="11">
        <f>C30*E30</f>
        <v>0</v>
      </c>
      <c r="G30" s="8"/>
      <c r="H30" s="11">
        <f>C30*G30</f>
        <v>0</v>
      </c>
      <c r="I30" s="8">
        <v>12</v>
      </c>
      <c r="J30" s="11">
        <f>C30*I30</f>
        <v>0</v>
      </c>
    </row>
    <row r="31" spans="1:10" ht="21" customHeight="1" thickTop="1">
      <c r="A31" s="36"/>
      <c r="B31" s="13"/>
      <c r="C31" s="60"/>
      <c r="D31" s="36"/>
      <c r="E31" s="56"/>
      <c r="F31" s="57">
        <f>SUM(F27:F30)</f>
        <v>0</v>
      </c>
      <c r="G31" s="56"/>
      <c r="H31" s="57">
        <f>SUM(H27:H30)</f>
        <v>0</v>
      </c>
      <c r="I31" s="56"/>
      <c r="J31" s="57">
        <f>SUM(J27:J30)</f>
        <v>0</v>
      </c>
    </row>
    <row r="32" spans="1:10" ht="21" customHeight="1">
      <c r="A32" s="36"/>
      <c r="B32" s="237" t="s">
        <v>523</v>
      </c>
      <c r="C32" s="240">
        <f>SUM($F31+$H31+$J31)</f>
        <v>0</v>
      </c>
      <c r="D32" s="36"/>
      <c r="E32" s="29"/>
      <c r="F32" s="11"/>
      <c r="G32" s="8"/>
      <c r="H32" s="11"/>
      <c r="I32" s="8"/>
      <c r="J32" s="11"/>
    </row>
    <row r="33" spans="1:12" ht="21" customHeight="1">
      <c r="A33" s="5"/>
      <c r="B33" s="25"/>
      <c r="C33" s="37"/>
      <c r="D33" s="5"/>
      <c r="E33" s="8"/>
      <c r="F33" s="11"/>
      <c r="G33" s="8"/>
      <c r="H33" s="11"/>
      <c r="I33" s="8"/>
      <c r="J33" s="11"/>
      <c r="L33" s="45"/>
    </row>
    <row r="34" spans="1:12" ht="21" customHeight="1">
      <c r="A34" s="21"/>
      <c r="B34" s="26"/>
      <c r="C34" s="80"/>
      <c r="D34" s="21"/>
      <c r="E34" s="22"/>
      <c r="F34" s="23"/>
      <c r="G34" s="22"/>
      <c r="H34" s="23"/>
      <c r="I34" s="22"/>
      <c r="J34" s="23"/>
      <c r="L34" s="45"/>
    </row>
    <row r="35" spans="1:12" ht="21" customHeight="1">
      <c r="A35" s="6"/>
      <c r="B35" s="27"/>
      <c r="C35" s="49"/>
      <c r="D35" s="6"/>
      <c r="E35" s="9"/>
      <c r="F35" s="12"/>
      <c r="G35" s="9"/>
      <c r="H35" s="12"/>
      <c r="I35" s="9"/>
      <c r="J35" s="12"/>
      <c r="L35" s="45"/>
    </row>
    <row r="36" spans="1:12" ht="21" customHeight="1">
      <c r="A36" s="14"/>
      <c r="B36" s="14"/>
      <c r="C36" s="14"/>
      <c r="D36" s="14"/>
      <c r="E36" s="16"/>
      <c r="F36" s="15"/>
      <c r="G36" s="16"/>
      <c r="H36" s="15"/>
      <c r="I36" s="16"/>
      <c r="J36" s="15"/>
      <c r="L36" s="45"/>
    </row>
    <row r="37" spans="1:12" ht="21" customHeight="1">
      <c r="A37" s="14"/>
      <c r="B37" s="14"/>
      <c r="C37" s="14"/>
      <c r="D37" s="14"/>
      <c r="E37" s="16"/>
      <c r="F37" s="15"/>
      <c r="G37" s="16"/>
      <c r="H37" s="15"/>
      <c r="I37" s="16"/>
      <c r="J37" s="15"/>
      <c r="L37" s="45"/>
    </row>
    <row r="38" spans="1:12" ht="21" customHeight="1">
      <c r="A38" s="14"/>
      <c r="B38" s="14"/>
      <c r="C38" s="14"/>
      <c r="D38" s="14"/>
      <c r="E38" s="16"/>
      <c r="F38" s="15"/>
      <c r="G38" s="16"/>
      <c r="H38" s="15"/>
      <c r="I38" s="16"/>
      <c r="J38" s="15"/>
      <c r="L38" s="45"/>
    </row>
    <row r="39" spans="1:10" ht="21" customHeight="1">
      <c r="A39" s="14"/>
      <c r="B39" s="14"/>
      <c r="C39" s="14"/>
      <c r="D39" s="14"/>
      <c r="E39" s="16"/>
      <c r="F39" s="15"/>
      <c r="G39" s="16"/>
      <c r="H39" s="15"/>
      <c r="I39" s="16"/>
      <c r="J39" s="15"/>
    </row>
    <row r="40" spans="1:12" ht="21" customHeight="1">
      <c r="A40" s="14"/>
      <c r="B40" s="14"/>
      <c r="C40" s="14"/>
      <c r="D40" s="14"/>
      <c r="E40" s="16"/>
      <c r="F40" s="15"/>
      <c r="G40" s="16"/>
      <c r="H40" s="15"/>
      <c r="I40" s="16"/>
      <c r="J40" s="15"/>
      <c r="L40" s="45"/>
    </row>
    <row r="41" spans="5:15" ht="21" customHeight="1">
      <c r="E41" s="16"/>
      <c r="F41" s="15"/>
      <c r="G41" s="16"/>
      <c r="H41" s="15"/>
      <c r="I41" s="16"/>
      <c r="J41" s="15"/>
      <c r="L41" s="45"/>
      <c r="M41" s="45"/>
      <c r="N41" s="45"/>
      <c r="O41" s="45"/>
    </row>
    <row r="42" spans="5:15" ht="21" customHeight="1">
      <c r="E42" s="16"/>
      <c r="F42" s="15"/>
      <c r="G42" s="16"/>
      <c r="H42" s="15"/>
      <c r="I42" s="16"/>
      <c r="J42" s="15"/>
      <c r="L42" s="45"/>
      <c r="M42" s="45"/>
      <c r="N42" s="45"/>
      <c r="O42" s="45"/>
    </row>
    <row r="43" spans="5:15" ht="21" customHeight="1">
      <c r="E43" s="16"/>
      <c r="F43" s="15"/>
      <c r="G43" s="16"/>
      <c r="H43" s="15"/>
      <c r="I43" s="16"/>
      <c r="J43" s="15"/>
      <c r="L43" s="45"/>
      <c r="M43" s="45"/>
      <c r="N43" s="45"/>
      <c r="O43" s="45"/>
    </row>
    <row r="44" spans="5:10" ht="21" customHeight="1">
      <c r="E44" s="16"/>
      <c r="F44" s="15"/>
      <c r="G44" s="16"/>
      <c r="H44" s="15"/>
      <c r="I44" s="16"/>
      <c r="J44" s="15"/>
    </row>
    <row r="45" spans="5:15" ht="21" customHeight="1">
      <c r="E45" s="16"/>
      <c r="F45" s="15"/>
      <c r="G45" s="16"/>
      <c r="H45" s="15"/>
      <c r="I45" s="16"/>
      <c r="J45" s="15"/>
      <c r="L45" s="45"/>
      <c r="M45" s="45"/>
      <c r="N45" s="45"/>
      <c r="O45" s="45"/>
    </row>
    <row r="46" spans="5:10" ht="21" customHeight="1">
      <c r="E46" s="16"/>
      <c r="F46" s="15"/>
      <c r="G46" s="16"/>
      <c r="H46" s="15"/>
      <c r="I46" s="16"/>
      <c r="J46" s="15"/>
    </row>
    <row r="47" spans="5:10" ht="21" customHeight="1">
      <c r="E47" s="16"/>
      <c r="F47" s="15"/>
      <c r="G47" s="16"/>
      <c r="H47" s="15"/>
      <c r="I47" s="16"/>
      <c r="J47" s="15"/>
    </row>
    <row r="48" spans="5:10" ht="21" customHeight="1">
      <c r="E48" s="16"/>
      <c r="F48" s="15"/>
      <c r="G48" s="16"/>
      <c r="H48" s="15"/>
      <c r="I48" s="16"/>
      <c r="J48" s="15"/>
    </row>
    <row r="49" spans="5:10" ht="21" customHeight="1">
      <c r="E49" s="16"/>
      <c r="F49" s="15"/>
      <c r="G49" s="16"/>
      <c r="H49" s="15"/>
      <c r="I49" s="16"/>
      <c r="J49" s="15"/>
    </row>
    <row r="50" spans="5:10" ht="21" customHeight="1">
      <c r="E50" s="16"/>
      <c r="F50" s="15"/>
      <c r="G50" s="16"/>
      <c r="H50" s="15"/>
      <c r="I50" s="16"/>
      <c r="J50" s="15"/>
    </row>
    <row r="51" spans="5:10" ht="21" customHeight="1">
      <c r="E51" s="16"/>
      <c r="F51" s="15"/>
      <c r="G51" s="16"/>
      <c r="H51" s="15"/>
      <c r="I51" s="16"/>
      <c r="J51" s="15"/>
    </row>
    <row r="52" spans="5:13" ht="21" customHeight="1">
      <c r="E52" s="16"/>
      <c r="F52" s="15"/>
      <c r="G52" s="16"/>
      <c r="H52" s="15"/>
      <c r="I52" s="16"/>
      <c r="J52" s="15"/>
      <c r="L52" s="45"/>
      <c r="M52" s="45"/>
    </row>
    <row r="53" spans="5:13" ht="21" customHeight="1">
      <c r="E53" s="16"/>
      <c r="F53" s="15"/>
      <c r="G53" s="16"/>
      <c r="H53" s="15"/>
      <c r="I53" s="16"/>
      <c r="J53" s="15"/>
      <c r="L53" s="45"/>
      <c r="M53" s="45"/>
    </row>
    <row r="54" spans="5:13" ht="21" customHeight="1">
      <c r="E54" s="16"/>
      <c r="F54" s="15"/>
      <c r="G54" s="16"/>
      <c r="H54" s="15"/>
      <c r="I54" s="16"/>
      <c r="J54" s="15"/>
      <c r="L54" s="45"/>
      <c r="M54" s="45"/>
    </row>
    <row r="55" spans="5:10" ht="21" customHeight="1">
      <c r="E55" s="16"/>
      <c r="F55" s="15"/>
      <c r="G55" s="16"/>
      <c r="H55" s="15"/>
      <c r="I55" s="16"/>
      <c r="J55" s="15"/>
    </row>
    <row r="56" spans="5:10" ht="21" customHeight="1">
      <c r="E56" s="16"/>
      <c r="F56" s="15"/>
      <c r="G56" s="16"/>
      <c r="H56" s="15"/>
      <c r="I56" s="16"/>
      <c r="J56" s="15"/>
    </row>
    <row r="57" spans="5:10" ht="21" customHeight="1">
      <c r="E57" s="16"/>
      <c r="F57" s="15"/>
      <c r="G57" s="16"/>
      <c r="H57" s="15"/>
      <c r="I57" s="16"/>
      <c r="J57" s="15"/>
    </row>
    <row r="58" spans="5:10" ht="21" customHeight="1">
      <c r="E58" s="16"/>
      <c r="F58" s="15"/>
      <c r="G58" s="16"/>
      <c r="H58" s="15"/>
      <c r="I58" s="16"/>
      <c r="J58" s="15"/>
    </row>
    <row r="59" spans="5:10" ht="21" customHeight="1">
      <c r="E59" s="16"/>
      <c r="F59" s="15"/>
      <c r="G59" s="16"/>
      <c r="H59" s="15"/>
      <c r="I59" s="16"/>
      <c r="J59" s="15"/>
    </row>
    <row r="60" spans="5:10" ht="21" customHeight="1">
      <c r="E60" s="16"/>
      <c r="F60" s="14"/>
      <c r="G60" s="16"/>
      <c r="H60" s="14"/>
      <c r="I60" s="16"/>
      <c r="J60" s="14"/>
    </row>
    <row r="61" spans="5:10" ht="21" customHeight="1">
      <c r="E61" s="16"/>
      <c r="F61" s="14"/>
      <c r="G61" s="16"/>
      <c r="H61" s="14"/>
      <c r="I61" s="16"/>
      <c r="J61" s="14"/>
    </row>
    <row r="62" ht="21" customHeight="1"/>
    <row r="63" ht="21" customHeight="1"/>
    <row r="64" ht="21" customHeight="1"/>
  </sheetData>
  <sheetProtection/>
  <mergeCells count="1">
    <mergeCell ref="F2:G2"/>
  </mergeCells>
  <printOptions/>
  <pageMargins left="0.25" right="0" top="1" bottom="0" header="0.5" footer="0"/>
  <pageSetup horizontalDpi="300" verticalDpi="300" orientation="landscape" r:id="rId1"/>
  <headerFooter alignWithMargins="0">
    <oddHeader>&amp;RPage &amp;P of 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Q101"/>
  <sheetViews>
    <sheetView workbookViewId="0" topLeftCell="A19">
      <selection activeCell="P32" sqref="P32"/>
    </sheetView>
  </sheetViews>
  <sheetFormatPr defaultColWidth="9.140625" defaultRowHeight="12.75"/>
  <cols>
    <col min="1" max="1" width="9.57421875" style="0" bestFit="1" customWidth="1"/>
    <col min="2" max="2" width="44.7109375" style="0" bestFit="1" customWidth="1"/>
    <col min="3" max="3" width="10.28125" style="0" customWidth="1"/>
    <col min="5" max="5" width="7.28125" style="17" customWidth="1"/>
    <col min="6" max="6" width="8.7109375" style="0" customWidth="1"/>
    <col min="7" max="7" width="7.00390625" style="17" customWidth="1"/>
    <col min="8" max="8" width="14.00390625" style="0" bestFit="1" customWidth="1"/>
    <col min="9" max="9" width="8.57421875" style="17" customWidth="1"/>
    <col min="10" max="10" width="10.28125" style="0" customWidth="1"/>
  </cols>
  <sheetData>
    <row r="1" spans="1:8" s="45" customFormat="1" ht="12.75">
      <c r="A1" s="166" t="s">
        <v>446</v>
      </c>
      <c r="B1" s="195">
        <f>Spread!B1</f>
        <v>0</v>
      </c>
      <c r="C1" s="165" t="s">
        <v>370</v>
      </c>
      <c r="D1" s="196" t="e">
        <f>Spread!#REF!</f>
        <v>#REF!</v>
      </c>
      <c r="E1"/>
      <c r="F1" s="165" t="s">
        <v>371</v>
      </c>
      <c r="G1" s="51"/>
      <c r="H1" s="170" t="e">
        <f>Spread!#REF!</f>
        <v>#REF!</v>
      </c>
    </row>
    <row r="2" spans="1:8" s="45" customFormat="1" ht="12.75">
      <c r="A2" s="166"/>
      <c r="B2" s="195" t="e">
        <f>Spread!#REF!</f>
        <v>#REF!</v>
      </c>
      <c r="C2" s="51"/>
      <c r="D2" s="51"/>
      <c r="E2"/>
      <c r="F2" s="476" t="s">
        <v>447</v>
      </c>
      <c r="G2" s="476"/>
      <c r="H2" s="197" t="e">
        <f>Spread!#REF!</f>
        <v>#REF!</v>
      </c>
    </row>
    <row r="3" spans="1:9" s="45" customFormat="1" ht="12.75" customHeight="1">
      <c r="A3" s="168"/>
      <c r="B3" s="195">
        <f>Spread!B3</f>
        <v>0</v>
      </c>
      <c r="C3" s="165" t="s">
        <v>445</v>
      </c>
      <c r="D3" s="51" t="e">
        <f>Spread!#REF!</f>
        <v>#REF!</v>
      </c>
      <c r="E3" s="51"/>
      <c r="F3" s="51"/>
      <c r="G3" s="51"/>
      <c r="H3" s="51"/>
      <c r="I3" s="118"/>
    </row>
    <row r="4" s="45" customFormat="1" ht="12" customHeight="1">
      <c r="B4" s="119"/>
    </row>
    <row r="5" spans="1:10" ht="12.75" customHeight="1">
      <c r="A5" s="1" t="s">
        <v>7</v>
      </c>
      <c r="B5" s="1" t="s">
        <v>0</v>
      </c>
      <c r="C5" s="1" t="s">
        <v>8</v>
      </c>
      <c r="D5" s="1" t="s">
        <v>9</v>
      </c>
      <c r="E5" s="18" t="s">
        <v>2</v>
      </c>
      <c r="F5" s="2"/>
      <c r="G5" s="18" t="s">
        <v>1</v>
      </c>
      <c r="H5" s="2"/>
      <c r="I5" s="18" t="s">
        <v>10</v>
      </c>
      <c r="J5" s="2"/>
    </row>
    <row r="6" spans="1:10" ht="12.75" customHeight="1" thickBot="1">
      <c r="A6" s="3"/>
      <c r="B6" s="63"/>
      <c r="C6" s="3"/>
      <c r="D6" s="3"/>
      <c r="E6" s="19" t="s">
        <v>11</v>
      </c>
      <c r="F6" s="3" t="s">
        <v>12</v>
      </c>
      <c r="G6" s="19" t="s">
        <v>11</v>
      </c>
      <c r="H6" s="3" t="s">
        <v>12</v>
      </c>
      <c r="I6" s="19" t="s">
        <v>13</v>
      </c>
      <c r="J6" s="3" t="s">
        <v>12</v>
      </c>
    </row>
    <row r="7" spans="1:10" ht="21" customHeight="1" thickTop="1">
      <c r="A7" s="5"/>
      <c r="B7" s="87" t="s">
        <v>247</v>
      </c>
      <c r="C7" s="35"/>
      <c r="D7" s="5"/>
      <c r="E7" s="8"/>
      <c r="F7" s="11"/>
      <c r="G7" s="8"/>
      <c r="H7" s="11"/>
      <c r="I7" s="8"/>
      <c r="J7" s="11"/>
    </row>
    <row r="8" spans="1:17" ht="21" customHeight="1">
      <c r="A8" s="5"/>
      <c r="B8" s="24" t="s">
        <v>4</v>
      </c>
      <c r="C8" s="40"/>
      <c r="D8" s="81"/>
      <c r="E8" s="82"/>
      <c r="F8" s="83"/>
      <c r="G8" s="82"/>
      <c r="H8" s="83"/>
      <c r="I8" s="8"/>
      <c r="J8" s="11"/>
      <c r="K8" s="45"/>
      <c r="L8" s="45"/>
      <c r="M8" s="45"/>
      <c r="N8" s="45"/>
      <c r="O8" s="45"/>
      <c r="P8" s="45"/>
      <c r="Q8" s="45"/>
    </row>
    <row r="9" spans="1:17" ht="21" customHeight="1" thickBot="1">
      <c r="A9" s="5"/>
      <c r="B9" s="36" t="s">
        <v>251</v>
      </c>
      <c r="C9" s="40"/>
      <c r="D9" s="81" t="s">
        <v>17</v>
      </c>
      <c r="E9" s="91"/>
      <c r="F9" s="92">
        <f>C9*E9</f>
        <v>0</v>
      </c>
      <c r="G9" s="91"/>
      <c r="H9" s="92">
        <f>C9*G9</f>
        <v>0</v>
      </c>
      <c r="I9" s="157"/>
      <c r="J9" s="23">
        <f>C9*I9</f>
        <v>0</v>
      </c>
      <c r="K9" s="45"/>
      <c r="L9" s="45"/>
      <c r="M9" s="45"/>
      <c r="N9" s="45"/>
      <c r="O9" s="45"/>
      <c r="P9" s="45"/>
      <c r="Q9" s="45"/>
    </row>
    <row r="10" spans="1:17" ht="21" customHeight="1" thickTop="1">
      <c r="A10" s="5"/>
      <c r="B10" s="5"/>
      <c r="C10" s="40"/>
      <c r="D10" s="81"/>
      <c r="E10" s="93"/>
      <c r="F10" s="94">
        <f>SUM(F9)</f>
        <v>0</v>
      </c>
      <c r="G10" s="93"/>
      <c r="H10" s="94">
        <f>SUM(H9)</f>
        <v>0</v>
      </c>
      <c r="I10" s="56"/>
      <c r="J10" s="57">
        <f>SUM(J9)</f>
        <v>0</v>
      </c>
      <c r="K10" s="45"/>
      <c r="L10" s="45"/>
      <c r="M10" s="45"/>
      <c r="N10" s="45"/>
      <c r="O10" s="45"/>
      <c r="P10" s="45"/>
      <c r="Q10" s="45"/>
    </row>
    <row r="11" spans="1:17" ht="21" customHeight="1">
      <c r="A11" s="5"/>
      <c r="B11" s="5"/>
      <c r="C11" s="40"/>
      <c r="D11" s="81"/>
      <c r="E11" s="95"/>
      <c r="F11" s="96"/>
      <c r="G11" s="95"/>
      <c r="H11" s="96"/>
      <c r="I11" s="29"/>
      <c r="J11" s="28"/>
      <c r="K11" s="45"/>
      <c r="L11" s="45"/>
      <c r="M11" s="45"/>
      <c r="N11" s="45"/>
      <c r="O11" s="45"/>
      <c r="P11" s="45"/>
      <c r="Q11" s="45"/>
    </row>
    <row r="12" spans="1:17" ht="21" customHeight="1">
      <c r="A12" s="5"/>
      <c r="B12" s="154" t="s">
        <v>49</v>
      </c>
      <c r="C12" s="40"/>
      <c r="D12" s="81"/>
      <c r="E12" s="95"/>
      <c r="F12" s="96"/>
      <c r="G12" s="95"/>
      <c r="H12" s="96"/>
      <c r="I12" s="29"/>
      <c r="J12" s="28"/>
      <c r="K12" s="45"/>
      <c r="L12" s="45"/>
      <c r="M12" s="45"/>
      <c r="N12" s="45"/>
      <c r="O12" s="45"/>
      <c r="P12" s="45"/>
      <c r="Q12" s="45"/>
    </row>
    <row r="13" spans="1:17" ht="21" customHeight="1">
      <c r="A13" s="5"/>
      <c r="B13" s="153"/>
      <c r="C13" s="40"/>
      <c r="D13" s="81" t="s">
        <v>15</v>
      </c>
      <c r="E13" s="8"/>
      <c r="F13" s="11">
        <f>C13*E13</f>
        <v>0</v>
      </c>
      <c r="G13" s="61"/>
      <c r="H13" s="11">
        <f>C13*G13</f>
        <v>0</v>
      </c>
      <c r="I13" s="8"/>
      <c r="J13" s="11">
        <f>C13*I13</f>
        <v>0</v>
      </c>
      <c r="K13" s="45"/>
      <c r="L13" s="45"/>
      <c r="M13" s="45"/>
      <c r="N13" s="45"/>
      <c r="O13" s="45"/>
      <c r="P13" s="45"/>
      <c r="Q13" s="45"/>
    </row>
    <row r="14" spans="1:17" ht="21" customHeight="1" thickBot="1">
      <c r="A14" s="5"/>
      <c r="B14" s="150"/>
      <c r="C14" s="40"/>
      <c r="D14" s="81" t="s">
        <v>15</v>
      </c>
      <c r="E14" s="8"/>
      <c r="F14" s="11">
        <f>C14*E14</f>
        <v>0</v>
      </c>
      <c r="G14" s="61"/>
      <c r="H14" s="11">
        <f>C14*G14</f>
        <v>0</v>
      </c>
      <c r="I14" s="8"/>
      <c r="J14" s="11">
        <f>C14*I14</f>
        <v>0</v>
      </c>
      <c r="K14" s="45"/>
      <c r="L14" s="45"/>
      <c r="M14" s="45"/>
      <c r="N14" s="45"/>
      <c r="O14" s="45"/>
      <c r="P14" s="45"/>
      <c r="Q14" s="45"/>
    </row>
    <row r="15" spans="1:17" ht="21" customHeight="1" thickTop="1">
      <c r="A15" s="5"/>
      <c r="B15" s="5"/>
      <c r="C15" s="40"/>
      <c r="D15" s="81"/>
      <c r="E15" s="93"/>
      <c r="F15" s="94">
        <f>SUM(F13:F14)</f>
        <v>0</v>
      </c>
      <c r="G15" s="93"/>
      <c r="H15" s="94">
        <f>SUM(H13:H14)</f>
        <v>0</v>
      </c>
      <c r="I15" s="56"/>
      <c r="J15" s="57">
        <f>SUM(J13:J14)</f>
        <v>0</v>
      </c>
      <c r="K15" s="45"/>
      <c r="L15" s="45"/>
      <c r="M15" s="45"/>
      <c r="N15" s="45"/>
      <c r="O15" s="45"/>
      <c r="P15" s="45"/>
      <c r="Q15" s="45"/>
    </row>
    <row r="16" spans="1:17" ht="21" customHeight="1">
      <c r="A16" s="5"/>
      <c r="B16" s="5"/>
      <c r="C16" s="40"/>
      <c r="D16" s="81"/>
      <c r="E16" s="95"/>
      <c r="F16" s="96"/>
      <c r="G16" s="95"/>
      <c r="H16" s="96"/>
      <c r="I16" s="29"/>
      <c r="J16" s="28"/>
      <c r="K16" s="45"/>
      <c r="L16" s="45"/>
      <c r="M16" s="45"/>
      <c r="N16" s="45"/>
      <c r="O16" s="45"/>
      <c r="P16" s="45"/>
      <c r="Q16" s="45"/>
    </row>
    <row r="17" spans="1:17" ht="21" customHeight="1">
      <c r="A17" s="5"/>
      <c r="B17" s="20" t="s">
        <v>226</v>
      </c>
      <c r="C17" s="40"/>
      <c r="D17" s="81"/>
      <c r="E17" s="95"/>
      <c r="F17" s="96"/>
      <c r="G17" s="95"/>
      <c r="H17" s="96"/>
      <c r="I17" s="29"/>
      <c r="J17" s="28"/>
      <c r="K17" s="45"/>
      <c r="L17" s="45"/>
      <c r="M17" s="45"/>
      <c r="N17" s="45"/>
      <c r="O17" s="45"/>
      <c r="P17" s="45"/>
      <c r="Q17" s="45"/>
    </row>
    <row r="18" spans="1:17" ht="21" customHeight="1">
      <c r="A18" s="5"/>
      <c r="B18" s="153"/>
      <c r="C18" s="40"/>
      <c r="D18" s="81" t="s">
        <v>68</v>
      </c>
      <c r="E18" s="8"/>
      <c r="F18" s="11">
        <f>C18*E18</f>
        <v>0</v>
      </c>
      <c r="G18" s="61"/>
      <c r="H18" s="11">
        <f>C18*G18</f>
        <v>0</v>
      </c>
      <c r="I18" s="8"/>
      <c r="J18" s="11">
        <f>C18*I18</f>
        <v>0</v>
      </c>
      <c r="K18" s="45"/>
      <c r="L18" s="45"/>
      <c r="M18" s="45"/>
      <c r="N18" s="45"/>
      <c r="O18" s="45"/>
      <c r="P18" s="45"/>
      <c r="Q18" s="45"/>
    </row>
    <row r="19" spans="1:17" ht="21" customHeight="1" thickBot="1">
      <c r="A19" s="5"/>
      <c r="B19" s="150"/>
      <c r="C19" s="40"/>
      <c r="D19" s="81" t="s">
        <v>68</v>
      </c>
      <c r="E19" s="8"/>
      <c r="F19" s="11">
        <f>C19*E19</f>
        <v>0</v>
      </c>
      <c r="G19" s="61"/>
      <c r="H19" s="11">
        <f>C19*G19</f>
        <v>0</v>
      </c>
      <c r="I19" s="8"/>
      <c r="J19" s="11">
        <f>C19*I19</f>
        <v>0</v>
      </c>
      <c r="K19" s="45"/>
      <c r="L19" s="45"/>
      <c r="M19" s="45"/>
      <c r="N19" s="45"/>
      <c r="O19" s="45"/>
      <c r="P19" s="45"/>
      <c r="Q19" s="45"/>
    </row>
    <row r="20" spans="1:17" ht="21" customHeight="1" thickTop="1">
      <c r="A20" s="5"/>
      <c r="B20" s="5"/>
      <c r="C20" s="40"/>
      <c r="D20" s="81"/>
      <c r="E20" s="93"/>
      <c r="F20" s="94">
        <f>SUM(F19)</f>
        <v>0</v>
      </c>
      <c r="G20" s="93"/>
      <c r="H20" s="94">
        <f>SUM(H18:H19)</f>
        <v>0</v>
      </c>
      <c r="I20" s="56"/>
      <c r="J20" s="57">
        <f>SUM(J18:J19)</f>
        <v>0</v>
      </c>
      <c r="K20" s="45"/>
      <c r="L20" s="45"/>
      <c r="M20" s="45"/>
      <c r="N20" s="45"/>
      <c r="O20" s="45"/>
      <c r="P20" s="45"/>
      <c r="Q20" s="45"/>
    </row>
    <row r="21" spans="1:17" ht="21" customHeight="1">
      <c r="A21" s="5"/>
      <c r="B21" s="5"/>
      <c r="C21" s="40"/>
      <c r="D21" s="81"/>
      <c r="E21" s="95"/>
      <c r="F21" s="96"/>
      <c r="G21" s="95"/>
      <c r="H21" s="96"/>
      <c r="I21" s="29"/>
      <c r="J21" s="28"/>
      <c r="K21" s="45"/>
      <c r="L21" s="45"/>
      <c r="M21" s="45"/>
      <c r="N21" s="45"/>
      <c r="O21" s="45"/>
      <c r="P21" s="45"/>
      <c r="Q21" s="45"/>
    </row>
    <row r="22" spans="1:17" ht="21" customHeight="1">
      <c r="A22" s="5"/>
      <c r="B22" s="20" t="s">
        <v>225</v>
      </c>
      <c r="C22" s="40"/>
      <c r="D22" s="81"/>
      <c r="E22" s="95"/>
      <c r="F22" s="96"/>
      <c r="G22" s="95"/>
      <c r="H22" s="96"/>
      <c r="I22" s="29"/>
      <c r="J22" s="28"/>
      <c r="K22" s="45"/>
      <c r="L22" s="45"/>
      <c r="M22" s="45"/>
      <c r="N22" s="45"/>
      <c r="O22" s="45"/>
      <c r="P22" s="45"/>
      <c r="Q22" s="45"/>
    </row>
    <row r="23" spans="1:17" ht="21" customHeight="1">
      <c r="A23" s="31"/>
      <c r="B23" s="36" t="s">
        <v>223</v>
      </c>
      <c r="C23" s="38"/>
      <c r="D23" s="5" t="s">
        <v>16</v>
      </c>
      <c r="E23" s="8"/>
      <c r="F23" s="40">
        <f>C23*E23</f>
        <v>0</v>
      </c>
      <c r="G23" s="86"/>
      <c r="H23" s="40">
        <f>C23*G23</f>
        <v>0</v>
      </c>
      <c r="I23" s="46"/>
      <c r="J23" s="40">
        <f>C23*I23</f>
        <v>0</v>
      </c>
      <c r="L23" s="45"/>
      <c r="M23" s="45"/>
      <c r="N23" s="45"/>
      <c r="O23" s="45"/>
      <c r="P23" s="45"/>
      <c r="Q23" s="45"/>
    </row>
    <row r="24" spans="1:17" ht="21" customHeight="1">
      <c r="A24" s="31"/>
      <c r="B24" s="5" t="s">
        <v>224</v>
      </c>
      <c r="C24" s="38"/>
      <c r="D24" s="5" t="s">
        <v>16</v>
      </c>
      <c r="E24" s="8"/>
      <c r="F24" s="40">
        <f>C24*E24</f>
        <v>0</v>
      </c>
      <c r="G24" s="86"/>
      <c r="H24" s="40">
        <f>C24*G24</f>
        <v>0</v>
      </c>
      <c r="I24" s="46"/>
      <c r="J24" s="40">
        <f>C24*I24</f>
        <v>0</v>
      </c>
      <c r="L24" s="45"/>
      <c r="M24" s="45"/>
      <c r="N24" s="45"/>
      <c r="O24" s="45"/>
      <c r="P24" s="45"/>
      <c r="Q24" s="45"/>
    </row>
    <row r="25" spans="1:17" ht="21" customHeight="1" thickBot="1">
      <c r="A25" s="5"/>
      <c r="B25" s="150" t="s">
        <v>218</v>
      </c>
      <c r="C25" s="40"/>
      <c r="D25" s="81" t="s">
        <v>59</v>
      </c>
      <c r="E25" s="95"/>
      <c r="F25" s="40">
        <f>C25*E25</f>
        <v>0</v>
      </c>
      <c r="G25" s="86"/>
      <c r="H25" s="40">
        <f>C25*G25</f>
        <v>0</v>
      </c>
      <c r="I25" s="46"/>
      <c r="J25" s="40">
        <f>C25*I25</f>
        <v>0</v>
      </c>
      <c r="K25" s="45"/>
      <c r="L25" s="45"/>
      <c r="M25" s="45"/>
      <c r="N25" s="45"/>
      <c r="O25" s="45"/>
      <c r="P25" s="45"/>
      <c r="Q25" s="45"/>
    </row>
    <row r="26" spans="1:17" ht="21" customHeight="1" thickTop="1">
      <c r="A26" s="5"/>
      <c r="B26" s="5"/>
      <c r="C26" s="40"/>
      <c r="D26" s="81"/>
      <c r="E26" s="93"/>
      <c r="F26" s="94">
        <f>SUM(F23:F25)</f>
        <v>0</v>
      </c>
      <c r="G26" s="93"/>
      <c r="H26" s="94">
        <f>SUM(H23:H25)</f>
        <v>0</v>
      </c>
      <c r="I26" s="56"/>
      <c r="J26" s="57">
        <f>SUM(J23:J25)</f>
        <v>0</v>
      </c>
      <c r="K26" s="45"/>
      <c r="L26" s="45"/>
      <c r="M26" s="45"/>
      <c r="N26" s="45"/>
      <c r="O26" s="45"/>
      <c r="P26" s="45"/>
      <c r="Q26" s="45"/>
    </row>
    <row r="27" spans="1:17" ht="21" customHeight="1">
      <c r="A27" s="5"/>
      <c r="B27" s="5"/>
      <c r="C27" s="40"/>
      <c r="D27" s="81"/>
      <c r="E27" s="95"/>
      <c r="F27" s="96"/>
      <c r="G27" s="95"/>
      <c r="H27" s="96"/>
      <c r="I27" s="29"/>
      <c r="J27" s="28"/>
      <c r="K27" s="45"/>
      <c r="L27" s="45"/>
      <c r="M27" s="45"/>
      <c r="N27" s="45"/>
      <c r="O27" s="45"/>
      <c r="P27" s="45"/>
      <c r="Q27" s="45"/>
    </row>
    <row r="28" spans="1:17" ht="21" customHeight="1">
      <c r="A28" s="5"/>
      <c r="B28" s="20" t="s">
        <v>240</v>
      </c>
      <c r="C28" s="40"/>
      <c r="D28" s="81"/>
      <c r="E28" s="95"/>
      <c r="F28" s="96"/>
      <c r="G28" s="95"/>
      <c r="H28" s="96"/>
      <c r="I28" s="29"/>
      <c r="J28" s="28"/>
      <c r="K28" s="45"/>
      <c r="L28" s="45"/>
      <c r="M28" s="45"/>
      <c r="N28" s="45"/>
      <c r="O28" s="45"/>
      <c r="P28" s="45"/>
      <c r="Q28" s="45"/>
    </row>
    <row r="29" spans="1:17" ht="21" customHeight="1">
      <c r="A29" s="5"/>
      <c r="B29" s="153" t="s">
        <v>217</v>
      </c>
      <c r="C29" s="151"/>
      <c r="D29" s="81" t="s">
        <v>59</v>
      </c>
      <c r="E29" s="8"/>
      <c r="F29" s="40">
        <f>C29*E29</f>
        <v>0</v>
      </c>
      <c r="G29" s="86"/>
      <c r="H29" s="103">
        <f>C29*G29</f>
        <v>0</v>
      </c>
      <c r="I29" s="46"/>
      <c r="J29" s="103">
        <f>C29*I29</f>
        <v>0</v>
      </c>
      <c r="K29" s="45"/>
      <c r="L29" s="45"/>
      <c r="M29" s="45"/>
      <c r="N29" s="45"/>
      <c r="O29" s="45"/>
      <c r="P29" s="45"/>
      <c r="Q29" s="45"/>
    </row>
    <row r="30" spans="1:17" ht="21" customHeight="1">
      <c r="A30" s="5"/>
      <c r="B30" s="150" t="s">
        <v>220</v>
      </c>
      <c r="C30" s="40"/>
      <c r="D30" s="81" t="s">
        <v>221</v>
      </c>
      <c r="E30" s="95"/>
      <c r="F30" s="40">
        <f>C30*E30</f>
        <v>0</v>
      </c>
      <c r="G30" s="95"/>
      <c r="H30" s="103">
        <f>C30*G30</f>
        <v>0</v>
      </c>
      <c r="I30" s="29"/>
      <c r="J30" s="103">
        <f>C30*I30</f>
        <v>0</v>
      </c>
      <c r="K30" s="45"/>
      <c r="L30" s="45"/>
      <c r="M30" s="45"/>
      <c r="N30" s="45"/>
      <c r="O30" s="45"/>
      <c r="P30" s="45"/>
      <c r="Q30" s="45"/>
    </row>
    <row r="31" spans="1:17" ht="21" customHeight="1">
      <c r="A31" s="5"/>
      <c r="B31" s="150" t="s">
        <v>219</v>
      </c>
      <c r="C31" s="151"/>
      <c r="D31" s="81" t="s">
        <v>16</v>
      </c>
      <c r="E31" s="8"/>
      <c r="F31" s="40">
        <f>C31*E31</f>
        <v>0</v>
      </c>
      <c r="G31" s="86"/>
      <c r="H31" s="103">
        <f>C31*G31</f>
        <v>0</v>
      </c>
      <c r="I31" s="46"/>
      <c r="J31" s="103">
        <f>C31*I31</f>
        <v>0</v>
      </c>
      <c r="K31" s="45"/>
      <c r="L31" s="45"/>
      <c r="M31" s="45"/>
      <c r="N31" s="45"/>
      <c r="O31" s="45"/>
      <c r="P31" s="45"/>
      <c r="Q31" s="45"/>
    </row>
    <row r="32" spans="1:17" ht="21" customHeight="1" thickBot="1">
      <c r="A32" s="5"/>
      <c r="B32" s="150" t="s">
        <v>222</v>
      </c>
      <c r="C32" s="151"/>
      <c r="D32" s="81" t="s">
        <v>16</v>
      </c>
      <c r="E32" s="22">
        <v>4</v>
      </c>
      <c r="F32" s="103">
        <f>C32*E32</f>
        <v>0</v>
      </c>
      <c r="G32" s="146">
        <v>4</v>
      </c>
      <c r="H32" s="103">
        <f>C32*G32</f>
        <v>0</v>
      </c>
      <c r="I32" s="102">
        <v>3</v>
      </c>
      <c r="J32" s="103">
        <f>C32*I32</f>
        <v>0</v>
      </c>
      <c r="K32" s="45"/>
      <c r="L32" s="45"/>
      <c r="M32" s="45"/>
      <c r="N32" s="45"/>
      <c r="O32" s="45"/>
      <c r="P32" s="45"/>
      <c r="Q32" s="45"/>
    </row>
    <row r="33" spans="1:17" ht="21" customHeight="1" thickTop="1">
      <c r="A33" s="5"/>
      <c r="B33" s="5"/>
      <c r="C33" s="40"/>
      <c r="D33" s="81"/>
      <c r="E33" s="93"/>
      <c r="F33" s="94">
        <f>SUM(F29:F32)</f>
        <v>0</v>
      </c>
      <c r="G33" s="93"/>
      <c r="H33" s="94">
        <f>SUM(H29:H32)</f>
        <v>0</v>
      </c>
      <c r="I33" s="56"/>
      <c r="J33" s="57">
        <f>SUM(J29:J32)</f>
        <v>0</v>
      </c>
      <c r="K33" s="45"/>
      <c r="L33" s="45"/>
      <c r="M33" s="45"/>
      <c r="N33" s="45"/>
      <c r="O33" s="45"/>
      <c r="P33" s="45"/>
      <c r="Q33" s="45"/>
    </row>
    <row r="34" spans="1:17" ht="21" customHeight="1">
      <c r="A34" s="5"/>
      <c r="B34" s="5"/>
      <c r="C34" s="40"/>
      <c r="D34" s="81"/>
      <c r="E34" s="95"/>
      <c r="F34" s="96"/>
      <c r="G34" s="95"/>
      <c r="H34" s="96"/>
      <c r="I34" s="29"/>
      <c r="J34" s="28"/>
      <c r="K34" s="45"/>
      <c r="L34" s="45"/>
      <c r="M34" s="45"/>
      <c r="N34" s="45"/>
      <c r="O34" s="45"/>
      <c r="P34" s="45"/>
      <c r="Q34" s="45"/>
    </row>
    <row r="35" spans="1:17" ht="21" customHeight="1">
      <c r="A35" s="5"/>
      <c r="B35" s="154" t="s">
        <v>96</v>
      </c>
      <c r="C35" s="40"/>
      <c r="D35" s="81"/>
      <c r="E35" s="95"/>
      <c r="F35" s="96"/>
      <c r="G35" s="95"/>
      <c r="H35" s="96"/>
      <c r="I35" s="29"/>
      <c r="J35" s="28"/>
      <c r="K35" s="45"/>
      <c r="L35" s="45"/>
      <c r="M35" s="45"/>
      <c r="N35" s="45"/>
      <c r="O35" s="45"/>
      <c r="P35" s="45"/>
      <c r="Q35" s="45"/>
    </row>
    <row r="36" spans="1:17" ht="21" customHeight="1" thickBot="1">
      <c r="A36" s="5"/>
      <c r="B36" s="153" t="s">
        <v>75</v>
      </c>
      <c r="C36" s="40"/>
      <c r="D36" s="81" t="s">
        <v>18</v>
      </c>
      <c r="E36" s="8">
        <v>1</v>
      </c>
      <c r="F36" s="11">
        <f>C36*E36</f>
        <v>0</v>
      </c>
      <c r="G36" s="61">
        <v>0.5</v>
      </c>
      <c r="H36" s="11">
        <f>C36*G36</f>
        <v>0</v>
      </c>
      <c r="I36" s="8">
        <v>1</v>
      </c>
      <c r="J36" s="11">
        <f>C36*I36</f>
        <v>0</v>
      </c>
      <c r="K36" s="45"/>
      <c r="L36" s="45"/>
      <c r="M36" s="45"/>
      <c r="N36" s="45"/>
      <c r="O36" s="45"/>
      <c r="P36" s="45"/>
      <c r="Q36" s="45"/>
    </row>
    <row r="37" spans="1:17" ht="21" customHeight="1" thickTop="1">
      <c r="A37" s="5"/>
      <c r="B37" s="5"/>
      <c r="C37" s="40"/>
      <c r="D37" s="81"/>
      <c r="E37" s="93"/>
      <c r="F37" s="94">
        <f>SUM(F36:F36)</f>
        <v>0</v>
      </c>
      <c r="G37" s="93"/>
      <c r="H37" s="94">
        <f>SUM(H36:H36)</f>
        <v>0</v>
      </c>
      <c r="I37" s="56"/>
      <c r="J37" s="57">
        <f>SUM(J36:J36)</f>
        <v>0</v>
      </c>
      <c r="K37" s="45"/>
      <c r="L37" s="45"/>
      <c r="M37" s="45"/>
      <c r="N37" s="45"/>
      <c r="O37" s="45"/>
      <c r="P37" s="45"/>
      <c r="Q37" s="45"/>
    </row>
    <row r="38" spans="1:17" ht="21" customHeight="1">
      <c r="A38" s="5"/>
      <c r="B38" s="21"/>
      <c r="C38" s="40"/>
      <c r="D38" s="81"/>
      <c r="E38" s="95"/>
      <c r="F38" s="96"/>
      <c r="G38" s="95"/>
      <c r="H38" s="96"/>
      <c r="I38" s="29"/>
      <c r="J38" s="28"/>
      <c r="K38" s="45"/>
      <c r="L38" s="45"/>
      <c r="M38" s="45"/>
      <c r="N38" s="45"/>
      <c r="O38" s="45"/>
      <c r="P38" s="45"/>
      <c r="Q38" s="45"/>
    </row>
    <row r="39" spans="1:17" ht="21" customHeight="1">
      <c r="A39" s="5"/>
      <c r="B39" s="20" t="s">
        <v>58</v>
      </c>
      <c r="C39" s="40"/>
      <c r="D39" s="81"/>
      <c r="E39" s="95"/>
      <c r="F39" s="96"/>
      <c r="G39" s="95"/>
      <c r="H39" s="96"/>
      <c r="I39" s="29"/>
      <c r="J39" s="28"/>
      <c r="K39" s="45"/>
      <c r="L39" s="45"/>
      <c r="M39" s="45"/>
      <c r="N39" s="45"/>
      <c r="O39" s="45"/>
      <c r="P39" s="45"/>
      <c r="Q39" s="45"/>
    </row>
    <row r="40" spans="1:17" ht="21" customHeight="1">
      <c r="A40" s="5"/>
      <c r="B40" s="153" t="s">
        <v>62</v>
      </c>
      <c r="C40" s="151"/>
      <c r="D40" s="152" t="s">
        <v>16</v>
      </c>
      <c r="E40" s="8"/>
      <c r="F40" s="11">
        <f>C40*E40</f>
        <v>0</v>
      </c>
      <c r="G40" s="61"/>
      <c r="H40" s="11">
        <f>C40*G40</f>
        <v>0</v>
      </c>
      <c r="I40" s="8"/>
      <c r="J40" s="11">
        <f>C40*I40</f>
        <v>0</v>
      </c>
      <c r="K40" s="45"/>
      <c r="L40" s="45"/>
      <c r="M40" s="45"/>
      <c r="N40" s="45"/>
      <c r="O40" s="45"/>
      <c r="P40" s="45"/>
      <c r="Q40" s="45"/>
    </row>
    <row r="41" spans="1:17" ht="21" customHeight="1">
      <c r="A41" s="5"/>
      <c r="B41" s="150" t="s">
        <v>242</v>
      </c>
      <c r="C41" s="151"/>
      <c r="D41" s="152" t="s">
        <v>68</v>
      </c>
      <c r="E41" s="8"/>
      <c r="F41" s="11">
        <f>C41*E41</f>
        <v>0</v>
      </c>
      <c r="G41" s="61"/>
      <c r="H41" s="11">
        <f>C41*G41</f>
        <v>0</v>
      </c>
      <c r="I41" s="8"/>
      <c r="J41" s="11">
        <f>C41*I41</f>
        <v>0</v>
      </c>
      <c r="K41" s="45"/>
      <c r="L41" s="45"/>
      <c r="M41" s="45"/>
      <c r="N41" s="45"/>
      <c r="O41" s="45"/>
      <c r="P41" s="45"/>
      <c r="Q41" s="45"/>
    </row>
    <row r="42" spans="1:17" ht="21" customHeight="1">
      <c r="A42" s="5"/>
      <c r="B42" s="150" t="s">
        <v>212</v>
      </c>
      <c r="C42" s="151"/>
      <c r="D42" s="152" t="s">
        <v>16</v>
      </c>
      <c r="E42" s="8"/>
      <c r="F42" s="11">
        <f>C42*E42</f>
        <v>0</v>
      </c>
      <c r="G42" s="61"/>
      <c r="H42" s="11">
        <f>C42*G42</f>
        <v>0</v>
      </c>
      <c r="I42" s="8"/>
      <c r="J42" s="11">
        <f>C42*I42</f>
        <v>0</v>
      </c>
      <c r="K42" s="45"/>
      <c r="L42" s="45"/>
      <c r="M42" s="45"/>
      <c r="N42" s="45"/>
      <c r="O42" s="45"/>
      <c r="P42" s="45"/>
      <c r="Q42" s="45"/>
    </row>
    <row r="43" spans="1:17" ht="21" customHeight="1">
      <c r="A43" s="31"/>
      <c r="B43" s="5" t="s">
        <v>241</v>
      </c>
      <c r="C43" s="38"/>
      <c r="D43" s="5" t="s">
        <v>16</v>
      </c>
      <c r="E43" s="8"/>
      <c r="F43" s="11">
        <f>C43*E43</f>
        <v>0</v>
      </c>
      <c r="G43" s="61"/>
      <c r="H43" s="11">
        <f>C43*G43</f>
        <v>0</v>
      </c>
      <c r="I43" s="8"/>
      <c r="J43" s="11">
        <f>C43*I43</f>
        <v>0</v>
      </c>
      <c r="L43" s="45"/>
      <c r="M43" s="45"/>
      <c r="N43" s="45"/>
      <c r="O43" s="45"/>
      <c r="P43" s="45"/>
      <c r="Q43" s="45"/>
    </row>
    <row r="44" spans="1:17" ht="21" customHeight="1" thickBot="1">
      <c r="A44" s="31"/>
      <c r="B44" s="5" t="s">
        <v>243</v>
      </c>
      <c r="C44" s="38"/>
      <c r="D44" s="5" t="s">
        <v>68</v>
      </c>
      <c r="E44" s="8"/>
      <c r="F44" s="11">
        <f>C44*E44</f>
        <v>0</v>
      </c>
      <c r="G44" s="61"/>
      <c r="H44" s="11">
        <f>C44*G44</f>
        <v>0</v>
      </c>
      <c r="I44" s="8"/>
      <c r="J44" s="11">
        <f>C44*I44</f>
        <v>0</v>
      </c>
      <c r="L44" s="45"/>
      <c r="M44" s="45"/>
      <c r="N44" s="45"/>
      <c r="O44" s="45"/>
      <c r="P44" s="45"/>
      <c r="Q44" s="45"/>
    </row>
    <row r="45" spans="1:17" ht="21" customHeight="1" thickTop="1">
      <c r="A45" s="5"/>
      <c r="B45" s="5"/>
      <c r="C45" s="40"/>
      <c r="D45" s="81"/>
      <c r="E45" s="93"/>
      <c r="F45" s="94">
        <f>SUM(F40:F44)</f>
        <v>0</v>
      </c>
      <c r="G45" s="93"/>
      <c r="H45" s="94">
        <f>SUM(H40:H44)</f>
        <v>0</v>
      </c>
      <c r="I45" s="56"/>
      <c r="J45" s="57">
        <f>SUM(J43:J44)</f>
        <v>0</v>
      </c>
      <c r="K45" s="45"/>
      <c r="L45" s="45"/>
      <c r="M45" s="45"/>
      <c r="N45" s="45"/>
      <c r="O45" s="45"/>
      <c r="P45" s="45"/>
      <c r="Q45" s="45"/>
    </row>
    <row r="46" spans="1:17" ht="21" customHeight="1">
      <c r="A46" s="5"/>
      <c r="B46" s="5"/>
      <c r="C46" s="40"/>
      <c r="D46" s="81"/>
      <c r="E46" s="95"/>
      <c r="F46" s="96"/>
      <c r="G46" s="95"/>
      <c r="H46" s="96"/>
      <c r="I46" s="29"/>
      <c r="J46" s="28"/>
      <c r="K46" s="45"/>
      <c r="L46" s="45"/>
      <c r="M46" s="45"/>
      <c r="N46" s="45"/>
      <c r="O46" s="45"/>
      <c r="P46" s="45"/>
      <c r="Q46" s="45"/>
    </row>
    <row r="47" spans="1:17" ht="21" customHeight="1">
      <c r="A47" s="5"/>
      <c r="B47" s="20" t="s">
        <v>118</v>
      </c>
      <c r="C47" s="40"/>
      <c r="D47" s="81"/>
      <c r="E47" s="82"/>
      <c r="F47" s="83"/>
      <c r="G47" s="82"/>
      <c r="H47" s="83"/>
      <c r="I47" s="8"/>
      <c r="J47" s="11"/>
      <c r="K47" s="45"/>
      <c r="L47" s="45"/>
      <c r="M47" s="45"/>
      <c r="N47" s="45"/>
      <c r="O47" s="45"/>
      <c r="P47" s="45"/>
      <c r="Q47" s="45"/>
    </row>
    <row r="48" spans="1:17" ht="21" customHeight="1" thickBot="1">
      <c r="A48" s="5"/>
      <c r="B48" s="153" t="s">
        <v>216</v>
      </c>
      <c r="C48" s="40"/>
      <c r="D48" s="81" t="s">
        <v>59</v>
      </c>
      <c r="E48" s="82">
        <v>700</v>
      </c>
      <c r="F48" s="83">
        <f>C48*E48</f>
        <v>0</v>
      </c>
      <c r="G48" s="82">
        <v>1000</v>
      </c>
      <c r="H48" s="83">
        <f>C48*G48</f>
        <v>0</v>
      </c>
      <c r="I48" s="8"/>
      <c r="J48" s="11">
        <f>C48*I48</f>
        <v>0</v>
      </c>
      <c r="K48" s="45"/>
      <c r="L48" s="45"/>
      <c r="M48" s="45"/>
      <c r="N48" s="45"/>
      <c r="O48" s="45"/>
      <c r="P48" s="45"/>
      <c r="Q48" s="45"/>
    </row>
    <row r="49" spans="1:17" ht="21" customHeight="1" thickTop="1">
      <c r="A49" s="5"/>
      <c r="B49" s="5"/>
      <c r="C49" s="40"/>
      <c r="D49" s="81"/>
      <c r="E49" s="93"/>
      <c r="F49" s="94">
        <f>SUM(F48:F48)</f>
        <v>0</v>
      </c>
      <c r="G49" s="93"/>
      <c r="H49" s="94">
        <f>SUM(H48:H48)</f>
        <v>0</v>
      </c>
      <c r="I49" s="56"/>
      <c r="J49" s="57">
        <f>SUM(J48:J48)</f>
        <v>0</v>
      </c>
      <c r="K49" s="45"/>
      <c r="L49" s="45"/>
      <c r="M49" s="45"/>
      <c r="N49" s="45"/>
      <c r="O49" s="45"/>
      <c r="P49" s="45"/>
      <c r="Q49" s="45"/>
    </row>
    <row r="50" spans="1:17" ht="21" customHeight="1">
      <c r="A50" s="5"/>
      <c r="B50" s="5"/>
      <c r="C50" s="40"/>
      <c r="D50" s="81"/>
      <c r="E50" s="95"/>
      <c r="F50" s="96"/>
      <c r="G50" s="95"/>
      <c r="H50" s="96"/>
      <c r="I50" s="29"/>
      <c r="J50" s="28"/>
      <c r="K50" s="45"/>
      <c r="L50" s="45"/>
      <c r="M50" s="45"/>
      <c r="N50" s="45"/>
      <c r="O50" s="45"/>
      <c r="P50" s="45"/>
      <c r="Q50" s="45"/>
    </row>
    <row r="51" spans="1:10" s="45" customFormat="1" ht="21" customHeight="1">
      <c r="A51" s="38"/>
      <c r="B51" s="110" t="s">
        <v>57</v>
      </c>
      <c r="C51" s="38"/>
      <c r="D51" s="38"/>
      <c r="E51" s="46"/>
      <c r="F51" s="40"/>
      <c r="G51" s="46"/>
      <c r="H51" s="40"/>
      <c r="I51" s="46"/>
      <c r="J51" s="40"/>
    </row>
    <row r="52" spans="1:17" ht="21" customHeight="1">
      <c r="A52" s="5"/>
      <c r="B52" s="150"/>
      <c r="C52" s="40"/>
      <c r="D52" s="81" t="s">
        <v>15</v>
      </c>
      <c r="E52" s="46"/>
      <c r="F52" s="40">
        <f>C52*E52</f>
        <v>0</v>
      </c>
      <c r="G52" s="86"/>
      <c r="H52" s="40">
        <f>C52*G52</f>
        <v>0</v>
      </c>
      <c r="I52" s="46"/>
      <c r="J52" s="40">
        <f>C52*I52</f>
        <v>0</v>
      </c>
      <c r="K52" s="45"/>
      <c r="L52" s="45"/>
      <c r="M52" s="45"/>
      <c r="N52" s="45"/>
      <c r="O52" s="45"/>
      <c r="P52" s="45"/>
      <c r="Q52" s="45"/>
    </row>
    <row r="53" spans="1:17" ht="21" customHeight="1" thickBot="1">
      <c r="A53" s="5"/>
      <c r="B53" s="150"/>
      <c r="C53" s="40"/>
      <c r="D53" s="81" t="s">
        <v>14</v>
      </c>
      <c r="E53" s="46"/>
      <c r="F53" s="40">
        <f>C53*E53</f>
        <v>0</v>
      </c>
      <c r="G53" s="86"/>
      <c r="H53" s="40">
        <f>C53*G53</f>
        <v>0</v>
      </c>
      <c r="I53" s="46"/>
      <c r="J53" s="40">
        <f>C53*I53</f>
        <v>0</v>
      </c>
      <c r="K53" s="45"/>
      <c r="L53" s="45"/>
      <c r="M53" s="45"/>
      <c r="N53" s="45"/>
      <c r="O53" s="45"/>
      <c r="P53" s="45"/>
      <c r="Q53" s="45"/>
    </row>
    <row r="54" spans="1:17" ht="21" customHeight="1" thickTop="1">
      <c r="A54" s="5"/>
      <c r="B54" s="5"/>
      <c r="C54" s="40"/>
      <c r="D54" s="81"/>
      <c r="E54" s="93"/>
      <c r="F54" s="94">
        <f>SUM(F52:F53)</f>
        <v>0</v>
      </c>
      <c r="G54" s="93"/>
      <c r="H54" s="94">
        <f>SUM(H52:H53)</f>
        <v>0</v>
      </c>
      <c r="I54" s="56"/>
      <c r="J54" s="57">
        <f>SUM(J52:J53)</f>
        <v>0</v>
      </c>
      <c r="K54" s="45"/>
      <c r="L54" s="45"/>
      <c r="M54" s="45"/>
      <c r="N54" s="45"/>
      <c r="O54" s="45"/>
      <c r="P54" s="45"/>
      <c r="Q54" s="45"/>
    </row>
    <row r="55" spans="1:17" ht="21" customHeight="1">
      <c r="A55" s="5"/>
      <c r="B55" s="5"/>
      <c r="C55" s="40"/>
      <c r="D55" s="81"/>
      <c r="E55" s="95"/>
      <c r="F55" s="96"/>
      <c r="G55" s="95"/>
      <c r="H55" s="96"/>
      <c r="I55" s="29"/>
      <c r="J55" s="28"/>
      <c r="K55" s="45"/>
      <c r="L55" s="45"/>
      <c r="M55" s="45"/>
      <c r="N55" s="45"/>
      <c r="O55" s="45"/>
      <c r="P55" s="45"/>
      <c r="Q55" s="45"/>
    </row>
    <row r="56" spans="1:17" ht="21" customHeight="1">
      <c r="A56" s="5"/>
      <c r="B56" s="20" t="s">
        <v>5</v>
      </c>
      <c r="C56" s="40"/>
      <c r="D56" s="81"/>
      <c r="E56" s="95"/>
      <c r="F56" s="96"/>
      <c r="G56" s="95"/>
      <c r="H56" s="96"/>
      <c r="I56" s="29"/>
      <c r="J56" s="28"/>
      <c r="K56" s="45"/>
      <c r="L56" s="45"/>
      <c r="M56" s="45"/>
      <c r="N56" s="45"/>
      <c r="O56" s="45"/>
      <c r="P56" s="45"/>
      <c r="Q56" s="45"/>
    </row>
    <row r="57" spans="1:17" ht="21" customHeight="1">
      <c r="A57" s="5"/>
      <c r="B57" s="153"/>
      <c r="C57" s="40">
        <v>0</v>
      </c>
      <c r="D57" s="81" t="s">
        <v>14</v>
      </c>
      <c r="E57" s="46"/>
      <c r="F57" s="40">
        <f>C57*E57</f>
        <v>0</v>
      </c>
      <c r="G57" s="86"/>
      <c r="H57" s="40">
        <f>C57*G57</f>
        <v>0</v>
      </c>
      <c r="I57" s="46"/>
      <c r="J57" s="40">
        <f>C57*I57</f>
        <v>0</v>
      </c>
      <c r="K57" s="45"/>
      <c r="L57" s="45"/>
      <c r="M57" s="45"/>
      <c r="N57" s="45"/>
      <c r="O57" s="45"/>
      <c r="P57" s="45"/>
      <c r="Q57" s="45"/>
    </row>
    <row r="58" spans="1:17" ht="21" customHeight="1" thickBot="1">
      <c r="A58" s="5"/>
      <c r="B58" s="150"/>
      <c r="C58" s="40">
        <v>0</v>
      </c>
      <c r="D58" s="81" t="s">
        <v>14</v>
      </c>
      <c r="E58" s="46"/>
      <c r="F58" s="40">
        <f>C58*E58</f>
        <v>0</v>
      </c>
      <c r="G58" s="86"/>
      <c r="H58" s="40">
        <f>C58*G58</f>
        <v>0</v>
      </c>
      <c r="I58" s="46"/>
      <c r="J58" s="40">
        <f>C58*I58</f>
        <v>0</v>
      </c>
      <c r="K58" s="45"/>
      <c r="L58" s="45"/>
      <c r="M58" s="45"/>
      <c r="N58" s="45"/>
      <c r="O58" s="45"/>
      <c r="P58" s="45"/>
      <c r="Q58" s="45"/>
    </row>
    <row r="59" spans="1:17" ht="21" customHeight="1" thickTop="1">
      <c r="A59" s="5"/>
      <c r="B59" s="5"/>
      <c r="C59" s="40"/>
      <c r="D59" s="81"/>
      <c r="E59" s="93"/>
      <c r="F59" s="94">
        <f>SUM(F57:F58)</f>
        <v>0</v>
      </c>
      <c r="G59" s="93"/>
      <c r="H59" s="94">
        <f>SUM(H57:H58)</f>
        <v>0</v>
      </c>
      <c r="I59" s="56"/>
      <c r="J59" s="57">
        <f>SUM(J57:J58)</f>
        <v>0</v>
      </c>
      <c r="K59" s="45"/>
      <c r="L59" s="45"/>
      <c r="M59" s="45"/>
      <c r="N59" s="45"/>
      <c r="O59" s="45"/>
      <c r="P59" s="45"/>
      <c r="Q59" s="45"/>
    </row>
    <row r="60" spans="1:17" ht="21" customHeight="1">
      <c r="A60" s="5"/>
      <c r="B60" s="5"/>
      <c r="C60" s="40"/>
      <c r="D60" s="81"/>
      <c r="E60" s="95"/>
      <c r="F60" s="96"/>
      <c r="G60" s="95"/>
      <c r="H60" s="96"/>
      <c r="I60" s="29"/>
      <c r="J60" s="28"/>
      <c r="K60" s="45"/>
      <c r="L60" s="45"/>
      <c r="M60" s="45"/>
      <c r="N60" s="45"/>
      <c r="O60" s="45"/>
      <c r="P60" s="45"/>
      <c r="Q60" s="45"/>
    </row>
    <row r="61" spans="1:17" ht="21" customHeight="1">
      <c r="A61" s="5"/>
      <c r="B61" s="20" t="s">
        <v>119</v>
      </c>
      <c r="C61" s="40"/>
      <c r="D61" s="81"/>
      <c r="E61" s="95"/>
      <c r="F61" s="96"/>
      <c r="G61" s="95"/>
      <c r="H61" s="96"/>
      <c r="I61" s="29"/>
      <c r="J61" s="28"/>
      <c r="K61" s="45"/>
      <c r="L61" s="45"/>
      <c r="M61" s="45"/>
      <c r="N61" s="45"/>
      <c r="O61" s="45"/>
      <c r="P61" s="45"/>
      <c r="Q61" s="45"/>
    </row>
    <row r="62" spans="1:17" ht="21" customHeight="1" thickBot="1">
      <c r="A62" s="5"/>
      <c r="B62" s="155"/>
      <c r="C62" s="40"/>
      <c r="D62" s="81" t="s">
        <v>16</v>
      </c>
      <c r="E62" s="95"/>
      <c r="F62" s="40">
        <f>C62*E62</f>
        <v>0</v>
      </c>
      <c r="G62" s="86"/>
      <c r="H62" s="40">
        <f>C62*G62</f>
        <v>0</v>
      </c>
      <c r="I62" s="46"/>
      <c r="J62" s="40">
        <f>C62*I62</f>
        <v>0</v>
      </c>
      <c r="K62" s="45"/>
      <c r="L62" s="45"/>
      <c r="M62" s="45"/>
      <c r="N62" s="45"/>
      <c r="O62" s="45"/>
      <c r="P62" s="45"/>
      <c r="Q62" s="45"/>
    </row>
    <row r="63" spans="1:17" ht="21" customHeight="1" thickTop="1">
      <c r="A63" s="5"/>
      <c r="B63" s="5"/>
      <c r="C63" s="40"/>
      <c r="D63" s="81"/>
      <c r="E63" s="93"/>
      <c r="F63" s="94">
        <f>SUM(F62)</f>
        <v>0</v>
      </c>
      <c r="G63" s="93"/>
      <c r="H63" s="94">
        <f>SUM(H62)</f>
        <v>0</v>
      </c>
      <c r="I63" s="56"/>
      <c r="J63" s="57">
        <f>SUM(J62)</f>
        <v>0</v>
      </c>
      <c r="K63" s="45"/>
      <c r="L63" s="45"/>
      <c r="M63" s="45"/>
      <c r="N63" s="45"/>
      <c r="O63" s="45"/>
      <c r="P63" s="45"/>
      <c r="Q63" s="45"/>
    </row>
    <row r="64" spans="1:17" ht="21" customHeight="1">
      <c r="A64" s="5"/>
      <c r="B64" s="117"/>
      <c r="C64" s="40"/>
      <c r="D64" s="81"/>
      <c r="E64" s="95"/>
      <c r="F64" s="96"/>
      <c r="G64" s="95"/>
      <c r="H64" s="96"/>
      <c r="I64" s="29"/>
      <c r="J64" s="28"/>
      <c r="K64" s="45"/>
      <c r="L64" s="45"/>
      <c r="M64" s="45"/>
      <c r="N64" s="45"/>
      <c r="O64" s="45"/>
      <c r="P64" s="45"/>
      <c r="Q64" s="45"/>
    </row>
    <row r="65" spans="1:17" ht="21" customHeight="1">
      <c r="A65" s="5"/>
      <c r="B65" s="5"/>
      <c r="C65" s="40"/>
      <c r="D65" s="81"/>
      <c r="E65" s="95"/>
      <c r="F65" s="96"/>
      <c r="G65" s="95"/>
      <c r="H65" s="96"/>
      <c r="I65" s="29"/>
      <c r="J65" s="28"/>
      <c r="K65" s="45"/>
      <c r="L65" s="45"/>
      <c r="M65" s="45"/>
      <c r="N65" s="45"/>
      <c r="O65" s="45"/>
      <c r="P65" s="45"/>
      <c r="Q65" s="45"/>
    </row>
    <row r="66" spans="1:17" ht="21" customHeight="1">
      <c r="A66" s="5"/>
      <c r="B66" s="20" t="s">
        <v>120</v>
      </c>
      <c r="C66" s="40"/>
      <c r="D66" s="81"/>
      <c r="E66" s="95"/>
      <c r="F66" s="96"/>
      <c r="G66" s="95"/>
      <c r="H66" s="96"/>
      <c r="I66" s="29"/>
      <c r="J66" s="28"/>
      <c r="K66" s="45"/>
      <c r="L66" s="45"/>
      <c r="M66" s="45"/>
      <c r="N66" s="45"/>
      <c r="O66" s="45"/>
      <c r="P66" s="45"/>
      <c r="Q66" s="45"/>
    </row>
    <row r="67" spans="1:17" ht="21" customHeight="1">
      <c r="A67" s="5"/>
      <c r="B67" s="144" t="s">
        <v>213</v>
      </c>
      <c r="C67" s="40"/>
      <c r="D67" s="81" t="s">
        <v>15</v>
      </c>
      <c r="E67" s="95"/>
      <c r="F67" s="40">
        <f>C67*E67</f>
        <v>0</v>
      </c>
      <c r="G67" s="86"/>
      <c r="H67" s="40">
        <f>C67*G67</f>
        <v>0</v>
      </c>
      <c r="I67" s="46">
        <v>25</v>
      </c>
      <c r="J67" s="40">
        <f>C67*I67</f>
        <v>0</v>
      </c>
      <c r="K67" s="45"/>
      <c r="L67" s="45"/>
      <c r="M67" s="45"/>
      <c r="N67" s="45"/>
      <c r="O67" s="45"/>
      <c r="P67" s="45"/>
      <c r="Q67" s="45"/>
    </row>
    <row r="68" spans="1:17" ht="21" customHeight="1">
      <c r="A68" s="5"/>
      <c r="B68" s="144" t="s">
        <v>214</v>
      </c>
      <c r="C68" s="40"/>
      <c r="D68" s="81" t="s">
        <v>15</v>
      </c>
      <c r="E68" s="95"/>
      <c r="F68" s="40">
        <f>C68*E68</f>
        <v>0</v>
      </c>
      <c r="G68" s="86"/>
      <c r="H68" s="40">
        <f>C68*G68</f>
        <v>0</v>
      </c>
      <c r="I68" s="46">
        <v>35</v>
      </c>
      <c r="J68" s="40">
        <f>C68*I68</f>
        <v>0</v>
      </c>
      <c r="K68" s="45"/>
      <c r="L68" s="45"/>
      <c r="M68" s="45"/>
      <c r="N68" s="45"/>
      <c r="O68" s="45"/>
      <c r="P68" s="45"/>
      <c r="Q68" s="45"/>
    </row>
    <row r="69" spans="1:17" ht="21" customHeight="1" thickBot="1">
      <c r="A69" s="5"/>
      <c r="B69" s="144" t="s">
        <v>215</v>
      </c>
      <c r="C69" s="40"/>
      <c r="D69" s="81" t="s">
        <v>15</v>
      </c>
      <c r="E69" s="145"/>
      <c r="F69" s="103">
        <f>C69*E69</f>
        <v>0</v>
      </c>
      <c r="G69" s="146"/>
      <c r="H69" s="103">
        <f>C69*G69</f>
        <v>0</v>
      </c>
      <c r="I69" s="102">
        <v>350</v>
      </c>
      <c r="J69" s="103">
        <f>C69*I69</f>
        <v>0</v>
      </c>
      <c r="K69" s="45"/>
      <c r="L69" s="45"/>
      <c r="M69" s="45"/>
      <c r="N69" s="45"/>
      <c r="O69" s="45"/>
      <c r="P69" s="45"/>
      <c r="Q69" s="45"/>
    </row>
    <row r="70" spans="1:17" ht="21" customHeight="1" thickTop="1">
      <c r="A70" s="5"/>
      <c r="B70" s="117"/>
      <c r="C70" s="40"/>
      <c r="D70" s="81"/>
      <c r="E70" s="93"/>
      <c r="F70" s="94">
        <f>SUM(F67:F69)</f>
        <v>0</v>
      </c>
      <c r="G70" s="93"/>
      <c r="H70" s="94">
        <f>SUM(H67:H69)</f>
        <v>0</v>
      </c>
      <c r="I70" s="56"/>
      <c r="J70" s="57">
        <f>SUM(J67:J69)</f>
        <v>0</v>
      </c>
      <c r="K70" s="45"/>
      <c r="L70" s="45"/>
      <c r="M70" s="45"/>
      <c r="N70" s="45"/>
      <c r="O70" s="45"/>
      <c r="P70" s="45"/>
      <c r="Q70" s="45"/>
    </row>
    <row r="71" spans="1:17" ht="21" customHeight="1">
      <c r="A71" s="5"/>
      <c r="B71" s="117"/>
      <c r="C71" s="40"/>
      <c r="D71" s="81"/>
      <c r="E71" s="95"/>
      <c r="F71" s="96"/>
      <c r="G71" s="95"/>
      <c r="H71" s="96"/>
      <c r="I71" s="29"/>
      <c r="J71" s="28"/>
      <c r="K71" s="45"/>
      <c r="L71" s="45"/>
      <c r="M71" s="45"/>
      <c r="N71" s="45"/>
      <c r="O71" s="45"/>
      <c r="P71" s="45"/>
      <c r="Q71" s="45"/>
    </row>
    <row r="72" spans="1:10" ht="21" customHeight="1">
      <c r="A72" s="5"/>
      <c r="B72" s="48" t="s">
        <v>92</v>
      </c>
      <c r="C72" s="53"/>
      <c r="D72" s="5"/>
      <c r="E72" s="97"/>
      <c r="F72" s="98"/>
      <c r="G72" s="97"/>
      <c r="H72" s="98"/>
      <c r="I72" s="97"/>
      <c r="J72" s="98"/>
    </row>
    <row r="73" spans="1:10" ht="21" customHeight="1">
      <c r="A73" s="31"/>
      <c r="B73" s="5"/>
      <c r="C73" s="38"/>
      <c r="D73" s="5"/>
      <c r="E73" s="29"/>
      <c r="F73" s="28"/>
      <c r="G73" s="29"/>
      <c r="H73" s="28"/>
      <c r="I73" s="29"/>
      <c r="J73" s="28"/>
    </row>
    <row r="74" spans="1:10" ht="21" customHeight="1">
      <c r="A74" s="31"/>
      <c r="B74" s="5"/>
      <c r="C74" s="38"/>
      <c r="D74" s="5"/>
      <c r="E74" s="29"/>
      <c r="F74" s="28"/>
      <c r="G74" s="29"/>
      <c r="H74" s="28"/>
      <c r="I74" s="29"/>
      <c r="J74" s="28"/>
    </row>
    <row r="75" spans="1:12" ht="21" customHeight="1">
      <c r="A75" s="6"/>
      <c r="B75" s="27"/>
      <c r="C75" s="49"/>
      <c r="D75" s="6"/>
      <c r="E75" s="9"/>
      <c r="F75" s="12"/>
      <c r="G75" s="9"/>
      <c r="H75" s="12"/>
      <c r="I75" s="9"/>
      <c r="J75" s="12"/>
      <c r="L75" s="45"/>
    </row>
    <row r="76" spans="1:12" ht="21" customHeight="1">
      <c r="A76" s="14"/>
      <c r="B76" s="14"/>
      <c r="C76" s="14"/>
      <c r="D76" s="14"/>
      <c r="E76" s="16"/>
      <c r="F76" s="15"/>
      <c r="G76" s="16"/>
      <c r="H76" s="15"/>
      <c r="I76" s="16"/>
      <c r="J76" s="15"/>
      <c r="L76" s="45"/>
    </row>
    <row r="77" spans="1:12" ht="21" customHeight="1">
      <c r="A77" s="14"/>
      <c r="B77" s="14"/>
      <c r="C77" s="14"/>
      <c r="D77" s="14"/>
      <c r="E77" s="16"/>
      <c r="F77" s="15"/>
      <c r="G77" s="16"/>
      <c r="H77" s="15"/>
      <c r="I77" s="16"/>
      <c r="J77" s="15"/>
      <c r="L77" s="45"/>
    </row>
    <row r="78" spans="1:12" ht="21" customHeight="1">
      <c r="A78" s="14"/>
      <c r="B78" s="14"/>
      <c r="C78" s="14"/>
      <c r="D78" s="14"/>
      <c r="E78" s="16"/>
      <c r="F78" s="15"/>
      <c r="G78" s="16"/>
      <c r="H78" s="15"/>
      <c r="I78" s="16"/>
      <c r="J78" s="15"/>
      <c r="L78" s="45"/>
    </row>
    <row r="79" spans="1:10" ht="21" customHeight="1">
      <c r="A79" s="14"/>
      <c r="B79" s="14"/>
      <c r="C79" s="14"/>
      <c r="D79" s="14"/>
      <c r="E79" s="16"/>
      <c r="F79" s="15"/>
      <c r="G79" s="16"/>
      <c r="H79" s="15"/>
      <c r="I79" s="16"/>
      <c r="J79" s="15"/>
    </row>
    <row r="80" spans="1:12" ht="21" customHeight="1">
      <c r="A80" s="14"/>
      <c r="B80" s="14"/>
      <c r="C80" s="14"/>
      <c r="D80" s="14"/>
      <c r="E80" s="16"/>
      <c r="F80" s="15"/>
      <c r="G80" s="16"/>
      <c r="H80" s="15"/>
      <c r="I80" s="16"/>
      <c r="J80" s="15"/>
      <c r="L80" s="45"/>
    </row>
    <row r="81" spans="5:15" ht="21" customHeight="1">
      <c r="E81" s="16"/>
      <c r="F81" s="15"/>
      <c r="G81" s="16"/>
      <c r="H81" s="15"/>
      <c r="I81" s="16"/>
      <c r="J81" s="15"/>
      <c r="L81" s="45"/>
      <c r="M81" s="45"/>
      <c r="N81" s="45"/>
      <c r="O81" s="45"/>
    </row>
    <row r="82" spans="5:15" ht="21" customHeight="1">
      <c r="E82" s="16"/>
      <c r="F82" s="15"/>
      <c r="G82" s="16"/>
      <c r="H82" s="15"/>
      <c r="I82" s="16"/>
      <c r="J82" s="15"/>
      <c r="L82" s="45"/>
      <c r="M82" s="45"/>
      <c r="N82" s="45"/>
      <c r="O82" s="45"/>
    </row>
    <row r="83" spans="5:15" ht="21" customHeight="1">
      <c r="E83" s="16"/>
      <c r="F83" s="15"/>
      <c r="G83" s="16"/>
      <c r="H83" s="15"/>
      <c r="I83" s="16"/>
      <c r="J83" s="15"/>
      <c r="L83" s="45"/>
      <c r="M83" s="45"/>
      <c r="N83" s="45"/>
      <c r="O83" s="45"/>
    </row>
    <row r="84" spans="5:10" ht="21" customHeight="1">
      <c r="E84" s="16"/>
      <c r="F84" s="15"/>
      <c r="G84" s="16"/>
      <c r="H84" s="15"/>
      <c r="I84" s="16"/>
      <c r="J84" s="15"/>
    </row>
    <row r="85" spans="5:15" ht="21" customHeight="1">
      <c r="E85" s="16"/>
      <c r="F85" s="15"/>
      <c r="G85" s="16"/>
      <c r="H85" s="15"/>
      <c r="I85" s="16"/>
      <c r="J85" s="15"/>
      <c r="L85" s="45"/>
      <c r="M85" s="45"/>
      <c r="N85" s="45"/>
      <c r="O85" s="45"/>
    </row>
    <row r="86" spans="5:10" ht="21" customHeight="1">
      <c r="E86" s="16"/>
      <c r="F86" s="15"/>
      <c r="G86" s="16"/>
      <c r="H86" s="15"/>
      <c r="I86" s="16"/>
      <c r="J86" s="15"/>
    </row>
    <row r="87" spans="5:10" ht="21" customHeight="1">
      <c r="E87" s="16"/>
      <c r="F87" s="15"/>
      <c r="G87" s="16"/>
      <c r="H87" s="15"/>
      <c r="I87" s="16"/>
      <c r="J87" s="15"/>
    </row>
    <row r="88" spans="5:10" ht="21" customHeight="1">
      <c r="E88" s="16"/>
      <c r="F88" s="15"/>
      <c r="G88" s="16"/>
      <c r="H88" s="15"/>
      <c r="I88" s="16"/>
      <c r="J88" s="15"/>
    </row>
    <row r="89" spans="5:10" ht="21" customHeight="1">
      <c r="E89" s="16"/>
      <c r="F89" s="15"/>
      <c r="G89" s="16"/>
      <c r="H89" s="15"/>
      <c r="I89" s="16"/>
      <c r="J89" s="15"/>
    </row>
    <row r="90" spans="5:10" ht="21" customHeight="1">
      <c r="E90" s="16"/>
      <c r="F90" s="15"/>
      <c r="G90" s="16"/>
      <c r="H90" s="15"/>
      <c r="I90" s="16"/>
      <c r="J90" s="15"/>
    </row>
    <row r="91" spans="5:10" ht="21" customHeight="1">
      <c r="E91" s="16"/>
      <c r="F91" s="15"/>
      <c r="G91" s="16"/>
      <c r="H91" s="15"/>
      <c r="I91" s="16"/>
      <c r="J91" s="15"/>
    </row>
    <row r="92" spans="5:13" ht="21" customHeight="1">
      <c r="E92" s="16"/>
      <c r="F92" s="15"/>
      <c r="G92" s="16"/>
      <c r="H92" s="15"/>
      <c r="I92" s="16"/>
      <c r="J92" s="15"/>
      <c r="L92" s="45"/>
      <c r="M92" s="45"/>
    </row>
    <row r="93" spans="5:13" ht="21" customHeight="1">
      <c r="E93" s="16"/>
      <c r="F93" s="15"/>
      <c r="G93" s="16"/>
      <c r="H93" s="15"/>
      <c r="I93" s="16"/>
      <c r="J93" s="15"/>
      <c r="L93" s="45"/>
      <c r="M93" s="45"/>
    </row>
    <row r="94" spans="5:13" ht="21" customHeight="1">
      <c r="E94" s="16"/>
      <c r="F94" s="15"/>
      <c r="G94" s="16"/>
      <c r="H94" s="15"/>
      <c r="I94" s="16"/>
      <c r="J94" s="15"/>
      <c r="L94" s="45"/>
      <c r="M94" s="45"/>
    </row>
    <row r="95" spans="5:10" ht="21" customHeight="1">
      <c r="E95" s="16"/>
      <c r="F95" s="15"/>
      <c r="G95" s="16"/>
      <c r="H95" s="15"/>
      <c r="I95" s="16"/>
      <c r="J95" s="15"/>
    </row>
    <row r="96" spans="5:10" ht="21" customHeight="1">
      <c r="E96" s="16"/>
      <c r="F96" s="15"/>
      <c r="G96" s="16"/>
      <c r="H96" s="15"/>
      <c r="I96" s="16"/>
      <c r="J96" s="15"/>
    </row>
    <row r="97" spans="5:10" ht="21" customHeight="1">
      <c r="E97" s="16"/>
      <c r="F97" s="15"/>
      <c r="G97" s="16"/>
      <c r="H97" s="15"/>
      <c r="I97" s="16"/>
      <c r="J97" s="15"/>
    </row>
    <row r="98" spans="5:10" ht="21" customHeight="1">
      <c r="E98" s="16"/>
      <c r="F98" s="15"/>
      <c r="G98" s="16"/>
      <c r="H98" s="15"/>
      <c r="I98" s="16"/>
      <c r="J98" s="15"/>
    </row>
    <row r="99" spans="5:10" ht="21" customHeight="1">
      <c r="E99" s="16"/>
      <c r="F99" s="15"/>
      <c r="G99" s="16"/>
      <c r="H99" s="15"/>
      <c r="I99" s="16"/>
      <c r="J99" s="15"/>
    </row>
    <row r="100" spans="5:10" ht="21" customHeight="1">
      <c r="E100" s="16"/>
      <c r="F100" s="14"/>
      <c r="G100" s="16"/>
      <c r="H100" s="14"/>
      <c r="I100" s="16"/>
      <c r="J100" s="14"/>
    </row>
    <row r="101" spans="5:10" ht="21" customHeight="1">
      <c r="E101" s="16"/>
      <c r="F101" s="14"/>
      <c r="G101" s="16"/>
      <c r="H101" s="14"/>
      <c r="I101" s="16"/>
      <c r="J101" s="14"/>
    </row>
    <row r="102" ht="21" customHeight="1"/>
    <row r="103" ht="21" customHeight="1"/>
    <row r="104" ht="21" customHeight="1"/>
  </sheetData>
  <sheetProtection/>
  <mergeCells count="1">
    <mergeCell ref="F2:G2"/>
  </mergeCells>
  <printOptions/>
  <pageMargins left="0.25" right="0" top="1" bottom="0" header="0.5" footer="0"/>
  <pageSetup horizontalDpi="300" verticalDpi="300" orientation="landscape" r:id="rId1"/>
  <headerFooter alignWithMargins="0">
    <oddHeader>&amp;RPage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M8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39.7109375" style="0" customWidth="1"/>
    <col min="2" max="2" width="9.7109375" style="0" customWidth="1"/>
    <col min="3" max="3" width="6.00390625" style="0" customWidth="1"/>
    <col min="4" max="5" width="13.7109375" style="0" customWidth="1"/>
    <col min="6" max="6" width="9.28125" style="0" customWidth="1"/>
    <col min="7" max="7" width="7.28125" style="0" customWidth="1"/>
    <col min="8" max="8" width="9.00390625" style="0" customWidth="1"/>
    <col min="9" max="9" width="8.28125" style="0" customWidth="1"/>
  </cols>
  <sheetData>
    <row r="1" spans="1:9" ht="12.75">
      <c r="A1" s="193" t="s">
        <v>393</v>
      </c>
      <c r="B1">
        <f>Spread!B1</f>
        <v>0</v>
      </c>
      <c r="F1" s="45"/>
      <c r="G1" s="45"/>
      <c r="H1" s="45"/>
      <c r="I1" s="45"/>
    </row>
    <row r="2" spans="1:10" ht="12.75">
      <c r="A2" s="193" t="s">
        <v>394</v>
      </c>
      <c r="F2" s="228" t="s">
        <v>452</v>
      </c>
      <c r="G2" s="228" t="s">
        <v>453</v>
      </c>
      <c r="H2" s="228" t="s">
        <v>454</v>
      </c>
      <c r="I2" s="228" t="s">
        <v>455</v>
      </c>
      <c r="J2" s="228" t="s">
        <v>456</v>
      </c>
    </row>
    <row r="3" spans="1:11" ht="12.75" customHeight="1">
      <c r="A3" s="193" t="s">
        <v>395</v>
      </c>
      <c r="B3" s="198"/>
      <c r="F3" s="125">
        <f>+G3*8</f>
        <v>0</v>
      </c>
      <c r="G3" s="125">
        <f>H3*5</f>
        <v>0</v>
      </c>
      <c r="H3" s="241"/>
      <c r="I3" s="24"/>
      <c r="J3" s="24"/>
      <c r="K3" s="244" t="s">
        <v>546</v>
      </c>
    </row>
    <row r="4" spans="1:11" ht="12.75" customHeight="1">
      <c r="A4" s="193" t="s">
        <v>396</v>
      </c>
      <c r="B4" s="199">
        <f>Spread!G3</f>
        <v>154400</v>
      </c>
      <c r="F4" s="125"/>
      <c r="G4" s="125"/>
      <c r="H4" s="241"/>
      <c r="I4" s="24"/>
      <c r="J4" s="24"/>
      <c r="K4" s="244" t="s">
        <v>547</v>
      </c>
    </row>
    <row r="5" spans="6:9" ht="12" customHeight="1">
      <c r="F5" s="181"/>
      <c r="G5" s="14"/>
      <c r="H5" s="14"/>
      <c r="I5" s="14"/>
    </row>
    <row r="6" spans="1:9" ht="12.75">
      <c r="A6" s="200" t="s">
        <v>397</v>
      </c>
      <c r="B6" s="200" t="s">
        <v>398</v>
      </c>
      <c r="C6" s="200" t="s">
        <v>399</v>
      </c>
      <c r="D6" s="200" t="s">
        <v>392</v>
      </c>
      <c r="E6" s="200" t="s">
        <v>128</v>
      </c>
      <c r="F6" s="168"/>
      <c r="G6" s="14"/>
      <c r="H6" s="14"/>
      <c r="I6" s="14"/>
    </row>
    <row r="7" spans="1:9" ht="21" customHeight="1">
      <c r="A7" s="222" t="s">
        <v>443</v>
      </c>
      <c r="B7" s="223"/>
      <c r="C7" s="223"/>
      <c r="D7" s="223"/>
      <c r="E7" s="223"/>
      <c r="F7" s="183"/>
      <c r="G7" s="16"/>
      <c r="H7" s="474" t="s">
        <v>458</v>
      </c>
      <c r="I7" s="475"/>
    </row>
    <row r="8" spans="1:9" ht="21" customHeight="1">
      <c r="A8" s="203" t="s">
        <v>400</v>
      </c>
      <c r="B8" s="202"/>
      <c r="C8" s="202" t="s">
        <v>401</v>
      </c>
      <c r="D8" s="204">
        <v>45</v>
      </c>
      <c r="E8" s="204">
        <f>D8*B8</f>
        <v>0</v>
      </c>
      <c r="F8" s="183"/>
      <c r="G8" s="16"/>
      <c r="H8" s="229" t="s">
        <v>459</v>
      </c>
      <c r="I8" s="230">
        <v>45</v>
      </c>
    </row>
    <row r="9" spans="1:11" ht="21" customHeight="1">
      <c r="A9" s="203" t="s">
        <v>402</v>
      </c>
      <c r="B9" s="202">
        <f>F3</f>
        <v>0</v>
      </c>
      <c r="C9" s="202" t="s">
        <v>401</v>
      </c>
      <c r="D9" s="204">
        <v>50</v>
      </c>
      <c r="E9" s="204">
        <f>D9*B9</f>
        <v>0</v>
      </c>
      <c r="F9" s="183"/>
      <c r="G9" s="134"/>
      <c r="H9" s="229" t="s">
        <v>460</v>
      </c>
      <c r="I9" s="230">
        <v>49</v>
      </c>
      <c r="J9" s="45"/>
      <c r="K9" s="45"/>
    </row>
    <row r="10" spans="1:11" ht="21" customHeight="1">
      <c r="A10" s="202" t="s">
        <v>403</v>
      </c>
      <c r="B10" s="202"/>
      <c r="C10" s="202" t="s">
        <v>404</v>
      </c>
      <c r="D10" s="205">
        <v>0.55</v>
      </c>
      <c r="E10" s="204">
        <f>D10*B10</f>
        <v>0</v>
      </c>
      <c r="F10" s="168"/>
      <c r="G10" s="134"/>
      <c r="H10" s="135"/>
      <c r="I10" s="134"/>
      <c r="J10" s="45"/>
      <c r="K10" s="45"/>
    </row>
    <row r="11" spans="1:11" ht="21" customHeight="1">
      <c r="A11" s="202" t="s">
        <v>405</v>
      </c>
      <c r="B11" s="202">
        <v>0</v>
      </c>
      <c r="C11" s="202" t="s">
        <v>15</v>
      </c>
      <c r="D11" s="205">
        <v>0</v>
      </c>
      <c r="E11" s="204">
        <f>D11*B11</f>
        <v>0</v>
      </c>
      <c r="F11" s="168"/>
      <c r="G11" s="134"/>
      <c r="H11" s="135"/>
      <c r="I11" s="134"/>
      <c r="J11" s="45"/>
      <c r="K11" s="45"/>
    </row>
    <row r="12" spans="1:11" ht="21" customHeight="1">
      <c r="A12" s="202" t="s">
        <v>406</v>
      </c>
      <c r="B12" s="202">
        <v>0</v>
      </c>
      <c r="C12" s="202" t="s">
        <v>15</v>
      </c>
      <c r="D12" s="205">
        <v>0</v>
      </c>
      <c r="E12" s="204">
        <f>D12*B12</f>
        <v>0</v>
      </c>
      <c r="G12" s="134"/>
      <c r="H12" s="135"/>
      <c r="I12" s="134"/>
      <c r="J12" s="45"/>
      <c r="K12" s="45"/>
    </row>
    <row r="13" spans="1:11" ht="21" customHeight="1">
      <c r="A13" s="215" t="s">
        <v>439</v>
      </c>
      <c r="B13" s="202"/>
      <c r="C13" s="202"/>
      <c r="D13" s="205"/>
      <c r="E13" s="214">
        <f>SUM(E8:E12)</f>
        <v>0</v>
      </c>
      <c r="G13" s="134"/>
      <c r="H13" s="135"/>
      <c r="I13" s="134"/>
      <c r="J13" s="45"/>
      <c r="K13" s="45"/>
    </row>
    <row r="14" spans="7:11" ht="12" customHeight="1">
      <c r="G14" s="187"/>
      <c r="H14" s="188"/>
      <c r="I14" s="187"/>
      <c r="J14" s="45"/>
      <c r="K14" s="45"/>
    </row>
    <row r="15" spans="1:9" ht="21" customHeight="1">
      <c r="A15" s="222" t="s">
        <v>438</v>
      </c>
      <c r="B15" s="223"/>
      <c r="C15" s="223"/>
      <c r="D15" s="224"/>
      <c r="E15" s="224"/>
      <c r="G15" s="134"/>
      <c r="H15" s="135"/>
      <c r="I15" s="189"/>
    </row>
    <row r="16" spans="1:10" ht="21" customHeight="1">
      <c r="A16" s="202" t="s">
        <v>407</v>
      </c>
      <c r="B16" s="202"/>
      <c r="C16" s="202" t="s">
        <v>15</v>
      </c>
      <c r="D16" s="257"/>
      <c r="E16" s="204">
        <f aca="true" t="shared" si="0" ref="E16:E21">D16*B16</f>
        <v>0</v>
      </c>
      <c r="F16" s="244"/>
      <c r="G16" s="134"/>
      <c r="H16" s="135"/>
      <c r="I16" s="134"/>
      <c r="J16" s="45"/>
    </row>
    <row r="17" spans="1:10" ht="21" customHeight="1">
      <c r="A17" s="203" t="s">
        <v>428</v>
      </c>
      <c r="B17" s="202"/>
      <c r="C17" s="202" t="s">
        <v>15</v>
      </c>
      <c r="D17" s="204">
        <v>0</v>
      </c>
      <c r="E17" s="204">
        <f t="shared" si="0"/>
        <v>0</v>
      </c>
      <c r="F17" s="168"/>
      <c r="G17" s="134"/>
      <c r="H17" s="135"/>
      <c r="I17" s="134"/>
      <c r="J17" s="45"/>
    </row>
    <row r="18" spans="1:10" ht="21" customHeight="1">
      <c r="A18" s="203" t="s">
        <v>429</v>
      </c>
      <c r="B18" s="202"/>
      <c r="C18" s="202" t="s">
        <v>15</v>
      </c>
      <c r="D18" s="204">
        <v>0</v>
      </c>
      <c r="E18" s="204">
        <f t="shared" si="0"/>
        <v>0</v>
      </c>
      <c r="F18" s="168"/>
      <c r="G18" s="16"/>
      <c r="H18" s="135"/>
      <c r="I18" s="134"/>
      <c r="J18" s="45"/>
    </row>
    <row r="19" spans="1:10" ht="21" customHeight="1">
      <c r="A19" s="203" t="s">
        <v>440</v>
      </c>
      <c r="B19" s="202"/>
      <c r="C19" s="208" t="s">
        <v>441</v>
      </c>
      <c r="D19" s="204">
        <v>35</v>
      </c>
      <c r="E19" s="204">
        <f t="shared" si="0"/>
        <v>0</v>
      </c>
      <c r="F19" s="168"/>
      <c r="G19" s="190"/>
      <c r="H19" s="188"/>
      <c r="I19" s="190"/>
      <c r="J19" s="45"/>
    </row>
    <row r="20" spans="1:10" ht="21" customHeight="1">
      <c r="A20" s="242" t="s">
        <v>545</v>
      </c>
      <c r="B20" s="202">
        <v>0.2</v>
      </c>
      <c r="C20" s="202" t="s">
        <v>544</v>
      </c>
      <c r="D20" s="204">
        <f>Spread!F1/100</f>
        <v>0</v>
      </c>
      <c r="E20" s="204">
        <f t="shared" si="0"/>
        <v>0</v>
      </c>
      <c r="F20" s="168"/>
      <c r="G20" s="190"/>
      <c r="H20" s="188"/>
      <c r="I20" s="190"/>
      <c r="J20" s="45"/>
    </row>
    <row r="21" spans="1:10" ht="21" customHeight="1">
      <c r="A21" s="242" t="s">
        <v>589</v>
      </c>
      <c r="B21" s="202">
        <v>1</v>
      </c>
      <c r="C21" s="202" t="s">
        <v>544</v>
      </c>
      <c r="D21" s="204">
        <f>Spread!F1/100</f>
        <v>0</v>
      </c>
      <c r="E21" s="204">
        <f t="shared" si="0"/>
        <v>0</v>
      </c>
      <c r="F21" s="168"/>
      <c r="G21" s="190"/>
      <c r="H21" s="188"/>
      <c r="I21" s="190"/>
      <c r="J21" s="45"/>
    </row>
    <row r="22" spans="1:10" ht="21" customHeight="1">
      <c r="A22" s="201" t="s">
        <v>437</v>
      </c>
      <c r="B22" s="202"/>
      <c r="C22" s="202"/>
      <c r="D22" s="204"/>
      <c r="E22" s="214">
        <f>SUM(E16:E21)</f>
        <v>0</v>
      </c>
      <c r="F22" s="168"/>
      <c r="G22" s="190"/>
      <c r="H22" s="188"/>
      <c r="I22" s="190"/>
      <c r="J22" s="45"/>
    </row>
    <row r="23" spans="4:10" ht="12" customHeight="1">
      <c r="D23" s="194"/>
      <c r="E23" s="194"/>
      <c r="F23" s="168"/>
      <c r="G23" s="190"/>
      <c r="H23" s="188"/>
      <c r="I23" s="190"/>
      <c r="J23" s="45"/>
    </row>
    <row r="24" spans="1:10" ht="21" customHeight="1">
      <c r="A24" s="222" t="s">
        <v>435</v>
      </c>
      <c r="B24" s="223"/>
      <c r="C24" s="223"/>
      <c r="D24" s="224"/>
      <c r="E24" s="224"/>
      <c r="F24" s="168"/>
      <c r="G24" s="190"/>
      <c r="H24" s="188"/>
      <c r="I24" s="190"/>
      <c r="J24" s="45"/>
    </row>
    <row r="25" spans="1:10" ht="21" customHeight="1">
      <c r="A25" s="203" t="s">
        <v>408</v>
      </c>
      <c r="B25" s="202"/>
      <c r="C25" s="202" t="s">
        <v>409</v>
      </c>
      <c r="D25" s="204">
        <v>300</v>
      </c>
      <c r="E25" s="204">
        <f aca="true" t="shared" si="1" ref="E25:E44">D25*B25</f>
        <v>0</v>
      </c>
      <c r="F25" s="168"/>
      <c r="G25" s="190"/>
      <c r="H25" s="188"/>
      <c r="I25" s="190"/>
      <c r="J25" s="45"/>
    </row>
    <row r="26" spans="1:10" ht="21" customHeight="1">
      <c r="A26" s="203" t="s">
        <v>410</v>
      </c>
      <c r="B26" s="202"/>
      <c r="C26" s="202" t="s">
        <v>409</v>
      </c>
      <c r="D26" s="204">
        <v>0</v>
      </c>
      <c r="E26" s="204">
        <f t="shared" si="1"/>
        <v>0</v>
      </c>
      <c r="F26" s="168"/>
      <c r="G26" s="190"/>
      <c r="H26" s="188"/>
      <c r="I26" s="190"/>
      <c r="J26" s="45"/>
    </row>
    <row r="27" spans="1:10" ht="21" customHeight="1">
      <c r="A27" s="242" t="s">
        <v>603</v>
      </c>
      <c r="B27" s="202"/>
      <c r="C27" s="202" t="s">
        <v>409</v>
      </c>
      <c r="D27" s="204">
        <v>100</v>
      </c>
      <c r="E27" s="204">
        <f t="shared" si="1"/>
        <v>0</v>
      </c>
      <c r="F27" s="168"/>
      <c r="G27" s="190"/>
      <c r="H27" s="188"/>
      <c r="I27" s="190"/>
      <c r="J27" s="45"/>
    </row>
    <row r="28" spans="1:10" ht="21" customHeight="1">
      <c r="A28" s="203" t="s">
        <v>411</v>
      </c>
      <c r="B28" s="202"/>
      <c r="C28" s="202" t="s">
        <v>409</v>
      </c>
      <c r="D28" s="204">
        <v>0</v>
      </c>
      <c r="E28" s="204">
        <f t="shared" si="1"/>
        <v>0</v>
      </c>
      <c r="F28" s="168"/>
      <c r="G28" s="190"/>
      <c r="H28" s="188"/>
      <c r="I28" s="190"/>
      <c r="J28" s="45"/>
    </row>
    <row r="29" spans="1:10" ht="21" customHeight="1">
      <c r="A29" s="203" t="s">
        <v>412</v>
      </c>
      <c r="B29" s="202"/>
      <c r="C29" s="202" t="s">
        <v>409</v>
      </c>
      <c r="D29" s="204">
        <v>0</v>
      </c>
      <c r="E29" s="204">
        <f t="shared" si="1"/>
        <v>0</v>
      </c>
      <c r="F29" s="168"/>
      <c r="G29" s="190"/>
      <c r="H29" s="188"/>
      <c r="I29" s="190"/>
      <c r="J29" s="45"/>
    </row>
    <row r="30" spans="1:10" ht="21" customHeight="1">
      <c r="A30" s="203" t="s">
        <v>449</v>
      </c>
      <c r="B30" s="202"/>
      <c r="C30" s="202" t="s">
        <v>409</v>
      </c>
      <c r="D30" s="204">
        <v>250</v>
      </c>
      <c r="E30" s="204">
        <f t="shared" si="1"/>
        <v>0</v>
      </c>
      <c r="F30" s="168"/>
      <c r="G30" s="190"/>
      <c r="H30" s="188"/>
      <c r="I30" s="190"/>
      <c r="J30" s="45"/>
    </row>
    <row r="31" spans="1:10" ht="21" customHeight="1">
      <c r="A31" s="203" t="s">
        <v>450</v>
      </c>
      <c r="B31" s="202"/>
      <c r="C31" s="202" t="s">
        <v>409</v>
      </c>
      <c r="D31" s="204">
        <v>100</v>
      </c>
      <c r="E31" s="204">
        <f t="shared" si="1"/>
        <v>0</v>
      </c>
      <c r="F31" s="168"/>
      <c r="G31" s="190"/>
      <c r="H31" s="188"/>
      <c r="I31" s="190"/>
      <c r="J31" s="45"/>
    </row>
    <row r="32" spans="1:10" ht="21" customHeight="1">
      <c r="A32" s="203" t="s">
        <v>413</v>
      </c>
      <c r="B32" s="202"/>
      <c r="C32" s="202" t="s">
        <v>409</v>
      </c>
      <c r="D32" s="204">
        <v>50</v>
      </c>
      <c r="E32" s="204">
        <f t="shared" si="1"/>
        <v>0</v>
      </c>
      <c r="F32" s="168"/>
      <c r="G32" s="190"/>
      <c r="H32" s="188"/>
      <c r="I32" s="190"/>
      <c r="J32" s="45"/>
    </row>
    <row r="33" spans="1:10" ht="21" customHeight="1">
      <c r="A33" s="242" t="s">
        <v>542</v>
      </c>
      <c r="B33" s="202"/>
      <c r="C33" s="202" t="s">
        <v>409</v>
      </c>
      <c r="D33" s="204">
        <v>200</v>
      </c>
      <c r="E33" s="204">
        <f t="shared" si="1"/>
        <v>0</v>
      </c>
      <c r="F33" s="168"/>
      <c r="G33" s="190"/>
      <c r="H33" s="188"/>
      <c r="I33" s="190"/>
      <c r="J33" s="45"/>
    </row>
    <row r="34" spans="1:9" ht="21" customHeight="1">
      <c r="A34" s="203" t="s">
        <v>414</v>
      </c>
      <c r="B34" s="202"/>
      <c r="C34" s="202" t="s">
        <v>415</v>
      </c>
      <c r="D34" s="204">
        <v>0</v>
      </c>
      <c r="E34" s="204">
        <f t="shared" si="1"/>
        <v>0</v>
      </c>
      <c r="F34" s="168"/>
      <c r="G34" s="134"/>
      <c r="H34" s="135"/>
      <c r="I34" s="134"/>
    </row>
    <row r="35" spans="1:11" ht="21" customHeight="1">
      <c r="A35" s="203" t="s">
        <v>416</v>
      </c>
      <c r="B35" s="202"/>
      <c r="C35" s="202" t="s">
        <v>415</v>
      </c>
      <c r="D35" s="204">
        <v>0</v>
      </c>
      <c r="E35" s="204">
        <f t="shared" si="1"/>
        <v>0</v>
      </c>
      <c r="F35" s="168"/>
      <c r="G35" s="16"/>
      <c r="H35" s="15"/>
      <c r="I35" s="134"/>
      <c r="J35" s="45"/>
      <c r="K35" s="45"/>
    </row>
    <row r="36" spans="1:11" ht="21" customHeight="1">
      <c r="A36" s="203" t="s">
        <v>417</v>
      </c>
      <c r="B36" s="202"/>
      <c r="C36" s="202" t="s">
        <v>415</v>
      </c>
      <c r="D36" s="204">
        <v>0</v>
      </c>
      <c r="E36" s="204">
        <f t="shared" si="1"/>
        <v>0</v>
      </c>
      <c r="F36" s="168"/>
      <c r="G36" s="16"/>
      <c r="H36" s="15"/>
      <c r="I36" s="134"/>
      <c r="J36" s="45"/>
      <c r="K36" s="45"/>
    </row>
    <row r="37" spans="1:11" ht="21" customHeight="1">
      <c r="A37" s="242" t="s">
        <v>598</v>
      </c>
      <c r="B37" s="202"/>
      <c r="C37" s="202" t="s">
        <v>415</v>
      </c>
      <c r="D37" s="204">
        <v>3000</v>
      </c>
      <c r="E37" s="204">
        <f t="shared" si="1"/>
        <v>0</v>
      </c>
      <c r="F37" s="168"/>
      <c r="G37" s="16"/>
      <c r="H37" s="15"/>
      <c r="I37" s="134"/>
      <c r="J37" s="45"/>
      <c r="K37" s="45"/>
    </row>
    <row r="38" spans="1:11" ht="21" customHeight="1">
      <c r="A38" s="203" t="s">
        <v>418</v>
      </c>
      <c r="B38" s="202"/>
      <c r="C38" s="202" t="s">
        <v>415</v>
      </c>
      <c r="D38" s="204">
        <v>1200</v>
      </c>
      <c r="E38" s="204">
        <f t="shared" si="1"/>
        <v>0</v>
      </c>
      <c r="F38" s="168"/>
      <c r="G38" s="16"/>
      <c r="H38" s="135"/>
      <c r="I38" s="187"/>
      <c r="J38" s="45"/>
      <c r="K38" s="45"/>
    </row>
    <row r="39" spans="1:11" ht="21" customHeight="1">
      <c r="A39" s="203" t="s">
        <v>419</v>
      </c>
      <c r="B39" s="202"/>
      <c r="C39" s="243" t="s">
        <v>16</v>
      </c>
      <c r="D39" s="204">
        <v>7</v>
      </c>
      <c r="E39" s="204">
        <f t="shared" si="1"/>
        <v>0</v>
      </c>
      <c r="F39" s="168"/>
      <c r="G39" s="16"/>
      <c r="H39" s="135"/>
      <c r="I39" s="134"/>
      <c r="J39" s="45"/>
      <c r="K39" s="45"/>
    </row>
    <row r="40" spans="1:11" ht="21" customHeight="1">
      <c r="A40" s="242" t="s">
        <v>608</v>
      </c>
      <c r="B40" s="202"/>
      <c r="C40" s="243" t="s">
        <v>526</v>
      </c>
      <c r="D40" s="204">
        <v>3.25</v>
      </c>
      <c r="E40" s="204">
        <f t="shared" si="1"/>
        <v>0</v>
      </c>
      <c r="F40" s="168"/>
      <c r="G40" s="16"/>
      <c r="H40" s="135"/>
      <c r="I40" s="134"/>
      <c r="J40" s="45"/>
      <c r="K40" s="45"/>
    </row>
    <row r="41" spans="1:11" ht="21" customHeight="1">
      <c r="A41" s="203" t="s">
        <v>420</v>
      </c>
      <c r="B41" s="202"/>
      <c r="C41" s="202" t="s">
        <v>421</v>
      </c>
      <c r="D41" s="204">
        <v>0</v>
      </c>
      <c r="E41" s="204">
        <f t="shared" si="1"/>
        <v>0</v>
      </c>
      <c r="F41" s="168"/>
      <c r="H41" s="135"/>
      <c r="I41" s="134"/>
      <c r="J41" s="45"/>
      <c r="K41" s="45"/>
    </row>
    <row r="42" spans="1:11" ht="21" customHeight="1">
      <c r="A42" s="203" t="s">
        <v>422</v>
      </c>
      <c r="B42" s="202"/>
      <c r="C42" s="202" t="s">
        <v>415</v>
      </c>
      <c r="D42" s="204">
        <v>0</v>
      </c>
      <c r="E42" s="204">
        <f t="shared" si="1"/>
        <v>0</v>
      </c>
      <c r="F42" s="168"/>
      <c r="G42" s="16"/>
      <c r="H42" s="15"/>
      <c r="I42" s="134"/>
      <c r="J42" s="45"/>
      <c r="K42" s="45"/>
    </row>
    <row r="43" spans="1:11" ht="21" customHeight="1">
      <c r="A43" s="203" t="s">
        <v>430</v>
      </c>
      <c r="B43" s="289"/>
      <c r="C43" s="208" t="s">
        <v>15</v>
      </c>
      <c r="D43" s="204">
        <v>30</v>
      </c>
      <c r="E43" s="204">
        <f t="shared" si="1"/>
        <v>0</v>
      </c>
      <c r="F43" s="168"/>
      <c r="G43" s="16"/>
      <c r="H43" s="15"/>
      <c r="I43" s="134"/>
      <c r="J43" s="45"/>
      <c r="K43" s="45"/>
    </row>
    <row r="44" spans="1:11" ht="21" customHeight="1">
      <c r="A44" s="203" t="s">
        <v>423</v>
      </c>
      <c r="B44" s="202"/>
      <c r="C44" s="202" t="s">
        <v>604</v>
      </c>
      <c r="D44" s="204">
        <v>500</v>
      </c>
      <c r="E44" s="204">
        <f t="shared" si="1"/>
        <v>0</v>
      </c>
      <c r="F44" s="168"/>
      <c r="G44" s="16"/>
      <c r="H44" s="15"/>
      <c r="I44" s="16"/>
      <c r="J44" s="45"/>
      <c r="K44" s="45"/>
    </row>
    <row r="45" spans="1:11" ht="21" customHeight="1">
      <c r="A45" s="201" t="s">
        <v>434</v>
      </c>
      <c r="B45" s="202"/>
      <c r="C45" s="202"/>
      <c r="D45" s="204"/>
      <c r="E45" s="214">
        <f>SUM(E25:E44)</f>
        <v>0</v>
      </c>
      <c r="F45" s="168"/>
      <c r="G45" s="16"/>
      <c r="H45" s="15"/>
      <c r="I45" s="16"/>
      <c r="J45" s="45"/>
      <c r="K45" s="45"/>
    </row>
    <row r="46" spans="6:12" ht="12" customHeight="1">
      <c r="F46" s="168"/>
      <c r="G46" s="16"/>
      <c r="H46" s="15"/>
      <c r="I46" s="16"/>
      <c r="J46" s="45"/>
      <c r="K46" s="45"/>
      <c r="L46" s="45"/>
    </row>
    <row r="47" spans="1:12" ht="21" customHeight="1">
      <c r="A47" s="222" t="s">
        <v>436</v>
      </c>
      <c r="B47" s="223"/>
      <c r="C47" s="223"/>
      <c r="D47" s="224"/>
      <c r="E47" s="224"/>
      <c r="F47" s="168"/>
      <c r="G47" s="134"/>
      <c r="H47" s="135"/>
      <c r="I47" s="134"/>
      <c r="J47" s="45"/>
      <c r="K47" s="45"/>
      <c r="L47" s="45"/>
    </row>
    <row r="48" spans="1:12" ht="21" customHeight="1">
      <c r="A48" s="206" t="s">
        <v>424</v>
      </c>
      <c r="B48" s="207"/>
      <c r="C48" s="202" t="s">
        <v>14</v>
      </c>
      <c r="D48" s="205">
        <v>0.45</v>
      </c>
      <c r="E48" s="204">
        <f>D48*B48</f>
        <v>0</v>
      </c>
      <c r="F48" s="168"/>
      <c r="G48" s="134"/>
      <c r="H48" s="135"/>
      <c r="I48" s="191"/>
      <c r="J48" s="45"/>
      <c r="K48" s="45"/>
      <c r="L48" s="45"/>
    </row>
    <row r="49" spans="1:12" ht="21" customHeight="1">
      <c r="A49" s="213" t="s">
        <v>433</v>
      </c>
      <c r="B49" s="207"/>
      <c r="C49" s="202"/>
      <c r="D49" s="205"/>
      <c r="E49" s="214">
        <f>SUM(E48)</f>
        <v>0</v>
      </c>
      <c r="F49" s="168"/>
      <c r="G49" s="134"/>
      <c r="H49" s="135"/>
      <c r="I49" s="191"/>
      <c r="J49" s="45"/>
      <c r="K49" s="45"/>
      <c r="L49" s="45"/>
    </row>
    <row r="50" spans="6:12" ht="12" customHeight="1">
      <c r="F50" s="168"/>
      <c r="G50" s="16"/>
      <c r="H50" s="15"/>
      <c r="I50" s="192"/>
      <c r="J50" s="45"/>
      <c r="K50" s="45"/>
      <c r="L50" s="45"/>
    </row>
    <row r="51" spans="1:12" ht="21" customHeight="1">
      <c r="A51" s="225" t="s">
        <v>432</v>
      </c>
      <c r="B51" s="223"/>
      <c r="C51" s="223"/>
      <c r="D51" s="224"/>
      <c r="E51" s="224"/>
      <c r="F51" s="183"/>
      <c r="G51" s="16"/>
      <c r="H51" s="135"/>
      <c r="I51" s="16"/>
      <c r="J51" s="45"/>
      <c r="K51" s="45"/>
      <c r="L51" s="45"/>
    </row>
    <row r="52" spans="1:12" ht="21" customHeight="1">
      <c r="A52" s="203" t="s">
        <v>425</v>
      </c>
      <c r="B52" s="202"/>
      <c r="C52" s="202" t="s">
        <v>15</v>
      </c>
      <c r="D52" s="204">
        <v>325</v>
      </c>
      <c r="E52" s="204">
        <f>D52*B52</f>
        <v>0</v>
      </c>
      <c r="F52" s="183"/>
      <c r="G52" s="16"/>
      <c r="H52" s="135"/>
      <c r="I52" s="16"/>
      <c r="J52" s="45"/>
      <c r="K52" s="45"/>
      <c r="L52" s="45"/>
    </row>
    <row r="53" spans="1:12" ht="21" customHeight="1">
      <c r="A53" s="203" t="s">
        <v>426</v>
      </c>
      <c r="B53" s="202">
        <v>1</v>
      </c>
      <c r="C53" s="202" t="s">
        <v>415</v>
      </c>
      <c r="D53" s="204">
        <v>500</v>
      </c>
      <c r="E53" s="204">
        <f>D53*B53</f>
        <v>500</v>
      </c>
      <c r="F53" s="183"/>
      <c r="G53" s="16"/>
      <c r="H53" s="135"/>
      <c r="I53" s="16"/>
      <c r="J53" s="45"/>
      <c r="K53" s="45"/>
      <c r="L53" s="45"/>
    </row>
    <row r="54" spans="1:9" ht="21" customHeight="1">
      <c r="A54" s="206" t="s">
        <v>427</v>
      </c>
      <c r="B54" s="202">
        <v>1</v>
      </c>
      <c r="C54" s="202" t="s">
        <v>415</v>
      </c>
      <c r="D54" s="204">
        <v>500</v>
      </c>
      <c r="E54" s="204">
        <f>D54*B54</f>
        <v>500</v>
      </c>
      <c r="F54" s="168"/>
      <c r="G54" s="16"/>
      <c r="H54" s="15"/>
      <c r="I54" s="16"/>
    </row>
    <row r="55" spans="1:5" ht="21" customHeight="1">
      <c r="A55" s="201" t="s">
        <v>431</v>
      </c>
      <c r="B55" s="210"/>
      <c r="C55" s="211"/>
      <c r="D55" s="210"/>
      <c r="E55" s="212">
        <f>SUM(E51:E54)</f>
        <v>1000</v>
      </c>
    </row>
    <row r="56" spans="1:5" ht="12" customHeight="1">
      <c r="A56" s="183"/>
      <c r="B56" s="182"/>
      <c r="C56" s="184"/>
      <c r="D56" s="182"/>
      <c r="E56" s="186"/>
    </row>
    <row r="57" spans="1:5" ht="21" customHeight="1">
      <c r="A57" s="468" t="s">
        <v>442</v>
      </c>
      <c r="B57" s="469"/>
      <c r="C57" s="469"/>
      <c r="D57" s="470"/>
      <c r="E57" s="212">
        <f>E13+E22+E45+E49+E55</f>
        <v>1000</v>
      </c>
    </row>
    <row r="58" spans="1:5" ht="21" customHeight="1">
      <c r="A58" s="471" t="s">
        <v>444</v>
      </c>
      <c r="B58" s="472"/>
      <c r="C58" s="472"/>
      <c r="D58" s="473"/>
      <c r="E58" s="221" t="e">
        <f>E57/Spread!F277</f>
        <v>#DIV/0!</v>
      </c>
    </row>
    <row r="59" spans="2:5" ht="12" customHeight="1">
      <c r="B59" s="182"/>
      <c r="C59" s="184"/>
      <c r="D59" s="182"/>
      <c r="E59" s="186"/>
    </row>
    <row r="60" spans="1:5" ht="21" customHeight="1">
      <c r="A60" s="216"/>
      <c r="B60" s="16"/>
      <c r="C60" s="184"/>
      <c r="D60" s="219"/>
      <c r="E60" s="220"/>
    </row>
    <row r="61" spans="1:5" ht="21" customHeight="1">
      <c r="A61" s="217"/>
      <c r="B61" s="209"/>
      <c r="C61" s="184"/>
      <c r="D61" s="185"/>
      <c r="E61" s="167"/>
    </row>
    <row r="62" spans="1:5" ht="21" customHeight="1">
      <c r="A62" s="217"/>
      <c r="B62" s="209"/>
      <c r="D62" s="185"/>
      <c r="E62" s="167"/>
    </row>
    <row r="63" spans="1:2" ht="21" customHeight="1">
      <c r="A63" s="218"/>
      <c r="B63" s="209"/>
    </row>
    <row r="64" ht="21" customHeight="1"/>
    <row r="65" ht="21" customHeight="1"/>
    <row r="66" ht="21" customHeight="1"/>
    <row r="67" ht="21" customHeight="1"/>
    <row r="68" spans="10:13" ht="21" customHeight="1">
      <c r="J68" s="45"/>
      <c r="K68" s="45"/>
      <c r="L68" s="45"/>
      <c r="M68" s="45"/>
    </row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spans="7:9" ht="21" customHeight="1">
      <c r="G78" s="16"/>
      <c r="H78" s="15"/>
      <c r="I78" s="15"/>
    </row>
    <row r="79" spans="6:9" ht="21" customHeight="1">
      <c r="F79" s="183"/>
      <c r="G79" s="16"/>
      <c r="H79" s="15"/>
      <c r="I79" s="15"/>
    </row>
    <row r="80" spans="6:9" ht="21" customHeight="1">
      <c r="F80" s="183"/>
      <c r="G80" s="16"/>
      <c r="H80" s="15"/>
      <c r="I80" s="16"/>
    </row>
    <row r="81" spans="6:9" ht="21" customHeight="1">
      <c r="F81" s="183"/>
      <c r="G81" s="14"/>
      <c r="H81" s="15"/>
      <c r="I81" s="16"/>
    </row>
    <row r="82" spans="6:9" ht="21" customHeight="1">
      <c r="F82" s="183"/>
      <c r="G82" s="14"/>
      <c r="H82" s="15"/>
      <c r="I82" s="16"/>
    </row>
    <row r="83" spans="7:9" ht="21" customHeight="1">
      <c r="G83" s="14"/>
      <c r="H83" s="15"/>
      <c r="I83" s="16"/>
    </row>
    <row r="84" spans="7:9" ht="21" customHeight="1">
      <c r="G84" s="14"/>
      <c r="H84" s="15"/>
      <c r="I84" s="16"/>
    </row>
  </sheetData>
  <sheetProtection/>
  <mergeCells count="3">
    <mergeCell ref="A57:D57"/>
    <mergeCell ref="A58:D58"/>
    <mergeCell ref="H7:I7"/>
  </mergeCells>
  <printOptions/>
  <pageMargins left="0.25" right="0" top="1" bottom="0" header="0.5" footer="0"/>
  <pageSetup horizontalDpi="300" verticalDpi="300" orientation="landscape" r:id="rId1"/>
  <headerFooter alignWithMargins="0">
    <oddHeader>&amp;RPage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M174"/>
  <sheetViews>
    <sheetView zoomScalePageLayoutView="0" workbookViewId="0" topLeftCell="A1">
      <selection activeCell="V16" sqref="V16"/>
    </sheetView>
  </sheetViews>
  <sheetFormatPr defaultColWidth="8.8515625" defaultRowHeight="12.75"/>
  <cols>
    <col min="1" max="1" width="13.140625" style="45" customWidth="1"/>
    <col min="2" max="4" width="8.8515625" style="45" customWidth="1"/>
    <col min="5" max="5" width="8.8515625" style="136" customWidth="1"/>
    <col min="6" max="6" width="8.8515625" style="45" customWidth="1"/>
    <col min="7" max="7" width="8.8515625" style="136" customWidth="1"/>
    <col min="8" max="8" width="8.8515625" style="45" customWidth="1"/>
    <col min="9" max="9" width="8.28125" style="136" customWidth="1"/>
    <col min="10" max="10" width="10.28125" style="45" customWidth="1"/>
    <col min="11" max="16384" width="8.8515625" style="45" customWidth="1"/>
  </cols>
  <sheetData>
    <row r="1" spans="1:9" ht="12.75">
      <c r="A1" s="166"/>
      <c r="B1" s="413"/>
      <c r="C1" s="165"/>
      <c r="D1" s="196"/>
      <c r="E1"/>
      <c r="F1" s="165"/>
      <c r="G1" s="51"/>
      <c r="H1" s="170"/>
      <c r="I1" s="45"/>
    </row>
    <row r="2" spans="1:9" ht="12.75">
      <c r="A2" s="166"/>
      <c r="B2" s="413"/>
      <c r="C2" s="51"/>
      <c r="D2" s="51"/>
      <c r="E2"/>
      <c r="F2" s="476"/>
      <c r="G2" s="476"/>
      <c r="H2" s="197"/>
      <c r="I2" s="45"/>
    </row>
    <row r="3" spans="1:9" ht="12.75" customHeight="1">
      <c r="A3" s="168"/>
      <c r="B3" s="413"/>
      <c r="C3" s="165"/>
      <c r="D3" s="51"/>
      <c r="E3" s="51"/>
      <c r="F3" s="51"/>
      <c r="G3" s="51"/>
      <c r="H3" s="51"/>
      <c r="I3" s="118"/>
    </row>
    <row r="4" spans="1:39" ht="16.5" customHeight="1">
      <c r="A4" t="s">
        <v>952</v>
      </c>
      <c r="B4" s="45" t="s">
        <v>957</v>
      </c>
      <c r="C4" t="s">
        <v>958</v>
      </c>
      <c r="D4" t="s">
        <v>128</v>
      </c>
      <c r="E4" s="136" t="s">
        <v>960</v>
      </c>
      <c r="F4" t="s">
        <v>959</v>
      </c>
      <c r="G4"/>
      <c r="H4"/>
      <c r="I4"/>
      <c r="J4" s="415" t="s">
        <v>968</v>
      </c>
      <c r="K4"/>
      <c r="L4"/>
      <c r="M4"/>
      <c r="N4"/>
      <c r="O4"/>
      <c r="P4"/>
      <c r="Q4" t="s">
        <v>969</v>
      </c>
      <c r="R4" s="24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</row>
    <row r="5" spans="1:39" ht="12.75" customHeight="1">
      <c r="A5" t="s">
        <v>953</v>
      </c>
      <c r="B5">
        <v>3</v>
      </c>
      <c r="C5">
        <v>73</v>
      </c>
      <c r="D5">
        <f>B5*C5</f>
        <v>219</v>
      </c>
      <c r="E5">
        <v>8</v>
      </c>
      <c r="F5">
        <f>D5*E5*2</f>
        <v>3504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 s="416" t="s">
        <v>970</v>
      </c>
      <c r="AI5"/>
      <c r="AJ5"/>
      <c r="AK5"/>
      <c r="AL5"/>
      <c r="AM5"/>
    </row>
    <row r="6" spans="1:39" ht="15" customHeight="1">
      <c r="A6" t="s">
        <v>954</v>
      </c>
      <c r="B6">
        <v>2</v>
      </c>
      <c r="C6">
        <v>70</v>
      </c>
      <c r="D6">
        <f>B6*C6</f>
        <v>140</v>
      </c>
      <c r="E6">
        <v>8</v>
      </c>
      <c r="F6">
        <f>D6*E6*2</f>
        <v>2240</v>
      </c>
      <c r="G6"/>
      <c r="H6"/>
      <c r="I6" s="417"/>
      <c r="J6" s="418"/>
      <c r="K6" s="419"/>
      <c r="L6" s="420" t="s">
        <v>971</v>
      </c>
      <c r="M6" s="421" t="s">
        <v>972</v>
      </c>
      <c r="N6" s="422"/>
      <c r="O6" s="422"/>
      <c r="P6" s="422"/>
      <c r="Q6" s="422"/>
      <c r="R6" s="422"/>
      <c r="S6" s="422"/>
      <c r="T6" s="422"/>
      <c r="U6" s="417"/>
      <c r="V6" s="420" t="s">
        <v>973</v>
      </c>
      <c r="W6" s="421" t="s">
        <v>974</v>
      </c>
      <c r="X6" s="422"/>
      <c r="Y6" s="422"/>
      <c r="Z6" s="422"/>
      <c r="AA6" s="417"/>
      <c r="AB6" s="420" t="s">
        <v>975</v>
      </c>
      <c r="AC6" s="423"/>
      <c r="AD6" s="421" t="s">
        <v>976</v>
      </c>
      <c r="AE6" s="422"/>
      <c r="AF6" s="422"/>
      <c r="AG6" s="417"/>
      <c r="AH6" s="420" t="s">
        <v>977</v>
      </c>
      <c r="AI6" s="417"/>
      <c r="AJ6" s="420" t="s">
        <v>978</v>
      </c>
      <c r="AK6" s="417"/>
      <c r="AL6" s="420" t="s">
        <v>979</v>
      </c>
      <c r="AM6" s="422"/>
    </row>
    <row r="7" spans="1:39" ht="15" customHeight="1" thickBot="1">
      <c r="A7" t="s">
        <v>955</v>
      </c>
      <c r="B7">
        <v>6</v>
      </c>
      <c r="C7">
        <v>79</v>
      </c>
      <c r="D7">
        <f>B7*C7</f>
        <v>474</v>
      </c>
      <c r="E7">
        <v>8</v>
      </c>
      <c r="F7">
        <f>D7*E7*2</f>
        <v>7584</v>
      </c>
      <c r="G7"/>
      <c r="H7"/>
      <c r="I7" s="424" t="s">
        <v>980</v>
      </c>
      <c r="J7" s="425" t="s">
        <v>981</v>
      </c>
      <c r="K7" s="426" t="s">
        <v>982</v>
      </c>
      <c r="L7" s="427" t="s">
        <v>983</v>
      </c>
      <c r="M7" s="428" t="s">
        <v>984</v>
      </c>
      <c r="N7" s="429" t="s">
        <v>985</v>
      </c>
      <c r="O7" s="429" t="s">
        <v>986</v>
      </c>
      <c r="P7" s="429" t="s">
        <v>987</v>
      </c>
      <c r="Q7" s="429" t="s">
        <v>988</v>
      </c>
      <c r="R7" s="428" t="s">
        <v>989</v>
      </c>
      <c r="S7" s="429" t="s">
        <v>990</v>
      </c>
      <c r="T7" s="428" t="s">
        <v>991</v>
      </c>
      <c r="U7" s="424"/>
      <c r="V7" s="427" t="s">
        <v>983</v>
      </c>
      <c r="W7" s="428" t="s">
        <v>985</v>
      </c>
      <c r="X7" s="428" t="s">
        <v>987</v>
      </c>
      <c r="Y7" s="428" t="s">
        <v>989</v>
      </c>
      <c r="Z7" s="428" t="s">
        <v>992</v>
      </c>
      <c r="AA7" s="424"/>
      <c r="AB7" s="427" t="s">
        <v>993</v>
      </c>
      <c r="AC7" s="430" t="s">
        <v>994</v>
      </c>
      <c r="AD7" s="428" t="s">
        <v>995</v>
      </c>
      <c r="AE7" s="428" t="s">
        <v>996</v>
      </c>
      <c r="AF7" s="430" t="s">
        <v>997</v>
      </c>
      <c r="AG7" s="424"/>
      <c r="AH7" s="427" t="s">
        <v>998</v>
      </c>
      <c r="AI7" s="424"/>
      <c r="AJ7" s="427" t="s">
        <v>999</v>
      </c>
      <c r="AK7" s="424" t="s">
        <v>1000</v>
      </c>
      <c r="AL7" s="427"/>
      <c r="AM7" s="428"/>
    </row>
    <row r="8" spans="1:39" ht="15" customHeight="1" thickTop="1">
      <c r="A8" t="s">
        <v>956</v>
      </c>
      <c r="B8">
        <v>2</v>
      </c>
      <c r="C8">
        <v>70</v>
      </c>
      <c r="D8">
        <f>B8*C8</f>
        <v>140</v>
      </c>
      <c r="E8">
        <v>8</v>
      </c>
      <c r="F8">
        <f>D8*E8*2</f>
        <v>2240</v>
      </c>
      <c r="G8"/>
      <c r="H8"/>
      <c r="I8" s="431"/>
      <c r="J8" s="432">
        <v>973</v>
      </c>
      <c r="K8" s="433">
        <v>8</v>
      </c>
      <c r="L8" s="434"/>
      <c r="M8" s="435"/>
      <c r="N8" s="435"/>
      <c r="O8" s="435"/>
      <c r="P8" s="435">
        <v>1070</v>
      </c>
      <c r="Q8" s="435">
        <v>1070</v>
      </c>
      <c r="R8" s="435"/>
      <c r="S8" s="435"/>
      <c r="T8" s="435"/>
      <c r="U8" s="433"/>
      <c r="V8" s="434"/>
      <c r="W8" s="435"/>
      <c r="X8" s="435">
        <v>8000</v>
      </c>
      <c r="Y8" s="435"/>
      <c r="Z8" s="435"/>
      <c r="AA8" s="433"/>
      <c r="AB8" s="434"/>
      <c r="AC8" s="435"/>
      <c r="AD8" s="435">
        <v>16000</v>
      </c>
      <c r="AE8" s="435"/>
      <c r="AF8" s="435"/>
      <c r="AG8" s="433"/>
      <c r="AH8" s="434"/>
      <c r="AI8" s="433"/>
      <c r="AJ8" s="434"/>
      <c r="AK8" s="433">
        <v>7000</v>
      </c>
      <c r="AL8" s="434"/>
      <c r="AM8" s="435"/>
    </row>
    <row r="9" spans="1:39" ht="15" customHeight="1">
      <c r="A9"/>
      <c r="B9"/>
      <c r="C9"/>
      <c r="D9">
        <f>SUM(D5:D8)</f>
        <v>973</v>
      </c>
      <c r="E9"/>
      <c r="F9">
        <f>SUM(F5:F8)</f>
        <v>15568</v>
      </c>
      <c r="G9"/>
      <c r="H9"/>
      <c r="I9" s="436"/>
      <c r="J9" s="437"/>
      <c r="K9" s="81"/>
      <c r="L9" s="438"/>
      <c r="M9" s="5"/>
      <c r="N9" s="5"/>
      <c r="O9" s="5"/>
      <c r="P9" s="5"/>
      <c r="Q9" s="5"/>
      <c r="R9" s="5"/>
      <c r="S9" s="5"/>
      <c r="T9" s="5"/>
      <c r="U9" s="81"/>
      <c r="V9" s="438"/>
      <c r="W9" s="5"/>
      <c r="X9" s="5"/>
      <c r="Y9" s="5"/>
      <c r="Z9" s="5"/>
      <c r="AA9" s="81"/>
      <c r="AB9" s="438"/>
      <c r="AC9" s="5"/>
      <c r="AD9" s="5"/>
      <c r="AE9" s="5"/>
      <c r="AF9" s="5"/>
      <c r="AG9" s="81"/>
      <c r="AH9" s="438"/>
      <c r="AI9" s="81"/>
      <c r="AJ9" s="438"/>
      <c r="AK9" s="81"/>
      <c r="AL9" s="438"/>
      <c r="AM9" s="5"/>
    </row>
    <row r="10" spans="1:39" ht="15" customHeight="1">
      <c r="A10"/>
      <c r="B10"/>
      <c r="C10"/>
      <c r="D10"/>
      <c r="E10"/>
      <c r="F10"/>
      <c r="G10"/>
      <c r="H10"/>
      <c r="I10" s="439"/>
      <c r="J10" s="437"/>
      <c r="K10" s="81"/>
      <c r="L10" s="438"/>
      <c r="M10" s="5"/>
      <c r="N10" s="5"/>
      <c r="O10" s="5"/>
      <c r="P10" s="5"/>
      <c r="Q10" s="5"/>
      <c r="R10" s="5"/>
      <c r="S10" s="5"/>
      <c r="T10" s="5"/>
      <c r="U10" s="81"/>
      <c r="V10" s="438"/>
      <c r="W10" s="5"/>
      <c r="X10" s="5"/>
      <c r="Y10" s="5"/>
      <c r="Z10" s="5"/>
      <c r="AA10" s="81"/>
      <c r="AB10" s="438"/>
      <c r="AC10" s="5"/>
      <c r="AD10" s="5"/>
      <c r="AE10" s="5"/>
      <c r="AF10" s="5"/>
      <c r="AG10" s="81"/>
      <c r="AH10" s="438"/>
      <c r="AI10" s="81"/>
      <c r="AJ10" s="438"/>
      <c r="AK10" s="81"/>
      <c r="AL10" s="438"/>
      <c r="AM10" s="5"/>
    </row>
    <row r="11" spans="1:39" ht="15" customHeight="1">
      <c r="A11"/>
      <c r="B11"/>
      <c r="C11"/>
      <c r="D11"/>
      <c r="E11"/>
      <c r="F11"/>
      <c r="G11"/>
      <c r="H11"/>
      <c r="I11" s="436"/>
      <c r="J11" s="437"/>
      <c r="K11" s="81"/>
      <c r="L11" s="438"/>
      <c r="M11" s="5"/>
      <c r="N11" s="5"/>
      <c r="O11" s="5"/>
      <c r="P11" s="5"/>
      <c r="Q11" s="5"/>
      <c r="R11" s="5"/>
      <c r="S11" s="5"/>
      <c r="T11" s="5"/>
      <c r="U11" s="81"/>
      <c r="V11" s="438"/>
      <c r="W11" s="5"/>
      <c r="X11" s="5"/>
      <c r="Y11" s="5"/>
      <c r="Z11" s="5"/>
      <c r="AA11" s="81"/>
      <c r="AB11" s="438"/>
      <c r="AC11" s="5"/>
      <c r="AD11" s="5"/>
      <c r="AE11" s="5"/>
      <c r="AF11" s="5"/>
      <c r="AG11" s="81"/>
      <c r="AH11" s="438"/>
      <c r="AI11" s="81"/>
      <c r="AJ11" s="438"/>
      <c r="AK11" s="81"/>
      <c r="AL11" s="438"/>
      <c r="AM11" s="5"/>
    </row>
    <row r="12" spans="1:39" ht="15" customHeight="1">
      <c r="A12" t="s">
        <v>961</v>
      </c>
      <c r="B12"/>
      <c r="C12" t="s">
        <v>635</v>
      </c>
      <c r="D12" t="s">
        <v>128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 s="5"/>
    </row>
    <row r="13" spans="1:39" ht="15" customHeight="1">
      <c r="A13" t="s">
        <v>962</v>
      </c>
      <c r="B13">
        <v>67</v>
      </c>
      <c r="C13">
        <v>113</v>
      </c>
      <c r="D13" s="409">
        <f>B13*C13</f>
        <v>7571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 s="5"/>
    </row>
    <row r="14" spans="1:39" ht="15" customHeight="1">
      <c r="A14" t="s">
        <v>963</v>
      </c>
      <c r="B14">
        <v>112</v>
      </c>
      <c r="C14">
        <v>95</v>
      </c>
      <c r="D14" s="409">
        <f aca="true" t="shared" si="0" ref="D14:D22">B14*C14</f>
        <v>10640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 s="5"/>
    </row>
    <row r="15" spans="1:39" ht="15" customHeight="1">
      <c r="A15" t="s">
        <v>964</v>
      </c>
      <c r="B15">
        <v>48</v>
      </c>
      <c r="C15">
        <v>134</v>
      </c>
      <c r="D15" s="409">
        <f t="shared" si="0"/>
        <v>6432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 s="5"/>
    </row>
    <row r="16" spans="1:39" ht="15" customHeight="1">
      <c r="A16" t="s">
        <v>965</v>
      </c>
      <c r="B16">
        <v>3</v>
      </c>
      <c r="C16">
        <v>160</v>
      </c>
      <c r="D16" s="409">
        <f t="shared" si="0"/>
        <v>480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 s="5"/>
    </row>
    <row r="17" spans="1:39" ht="15" customHeight="1">
      <c r="A17" t="s">
        <v>966</v>
      </c>
      <c r="B17">
        <v>8</v>
      </c>
      <c r="C17">
        <v>80</v>
      </c>
      <c r="D17" s="409">
        <f t="shared" si="0"/>
        <v>640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 s="5"/>
    </row>
    <row r="18" spans="1:39" ht="15" customHeight="1">
      <c r="A18" t="s">
        <v>967</v>
      </c>
      <c r="B18">
        <v>1</v>
      </c>
      <c r="C18">
        <v>117</v>
      </c>
      <c r="D18" s="409">
        <f t="shared" si="0"/>
        <v>117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 s="5"/>
    </row>
    <row r="19" spans="1:39" ht="15" customHeight="1">
      <c r="A19" t="s">
        <v>953</v>
      </c>
      <c r="B19">
        <v>3</v>
      </c>
      <c r="C19">
        <v>102</v>
      </c>
      <c r="D19" s="409">
        <f t="shared" si="0"/>
        <v>306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 s="5"/>
    </row>
    <row r="20" spans="1:39" ht="15" customHeight="1">
      <c r="A20" t="s">
        <v>954</v>
      </c>
      <c r="B20">
        <v>2</v>
      </c>
      <c r="C20">
        <v>102</v>
      </c>
      <c r="D20" s="409">
        <f t="shared" si="0"/>
        <v>204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 s="5"/>
    </row>
    <row r="21" spans="1:39" ht="15" customHeight="1">
      <c r="A21" t="s">
        <v>956</v>
      </c>
      <c r="B21">
        <v>2</v>
      </c>
      <c r="C21">
        <v>99</v>
      </c>
      <c r="D21" s="409">
        <f t="shared" si="0"/>
        <v>198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 s="5"/>
    </row>
    <row r="22" spans="1:39" ht="15" customHeight="1">
      <c r="A22" t="s">
        <v>955</v>
      </c>
      <c r="B22">
        <v>6</v>
      </c>
      <c r="C22">
        <v>103</v>
      </c>
      <c r="D22" s="409">
        <f t="shared" si="0"/>
        <v>618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 s="5"/>
    </row>
    <row r="23" spans="1:39" ht="15" customHeight="1">
      <c r="A23"/>
      <c r="B23"/>
      <c r="C23"/>
      <c r="D23" s="409">
        <f>SUM(D13:D22)</f>
        <v>27206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 s="5"/>
    </row>
    <row r="24" spans="1:39" ht="15" customHeight="1">
      <c r="A24"/>
      <c r="B24"/>
      <c r="C24"/>
      <c r="D24" s="414">
        <f>D23*1.25</f>
        <v>34007.5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 s="5"/>
    </row>
    <row r="25" spans="1:39" ht="1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 s="5"/>
    </row>
    <row r="26" spans="1:39" ht="1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 s="5"/>
    </row>
    <row r="27" spans="1:39" ht="1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 s="5"/>
    </row>
    <row r="28" spans="1:39" ht="1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 s="5"/>
    </row>
    <row r="29" spans="1:39" ht="1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 s="5"/>
    </row>
    <row r="30" spans="1:39" ht="1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 s="5"/>
    </row>
    <row r="31" spans="1:39" ht="1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 s="5"/>
    </row>
    <row r="32" spans="1:39" ht="1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 s="5"/>
    </row>
    <row r="33" spans="1:39" ht="1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 s="5"/>
    </row>
    <row r="34" spans="1:39" ht="1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 s="5"/>
    </row>
    <row r="35" spans="1:39" ht="1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 s="5"/>
    </row>
    <row r="36" spans="1:39" ht="1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 s="5"/>
    </row>
    <row r="37" spans="1:39" ht="1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 s="5"/>
    </row>
    <row r="38" spans="1:39" ht="1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 s="5"/>
    </row>
    <row r="39" spans="1:39" ht="1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 s="5"/>
    </row>
    <row r="40" spans="1:39" ht="1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 s="5"/>
    </row>
    <row r="41" spans="1:39" ht="1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 s="5"/>
    </row>
    <row r="42" spans="1:39" ht="1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 s="5"/>
    </row>
    <row r="43" spans="1:39" ht="1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 s="5"/>
    </row>
    <row r="44" spans="1:39" ht="1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 s="5"/>
    </row>
    <row r="45" spans="1:39" ht="1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 s="5"/>
    </row>
    <row r="46" spans="1:39" ht="1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 s="5"/>
    </row>
    <row r="47" spans="1:38" ht="1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</row>
    <row r="48" spans="1:10" ht="15" customHeight="1">
      <c r="A48"/>
      <c r="B48"/>
      <c r="C48"/>
      <c r="D48"/>
      <c r="E48"/>
      <c r="F48"/>
      <c r="G48"/>
      <c r="H48"/>
      <c r="I48"/>
      <c r="J48"/>
    </row>
    <row r="49" spans="1:10" ht="15" customHeight="1">
      <c r="A49"/>
      <c r="B49"/>
      <c r="C49"/>
      <c r="D49"/>
      <c r="E49"/>
      <c r="F49"/>
      <c r="G49"/>
      <c r="H49"/>
      <c r="I49"/>
      <c r="J49"/>
    </row>
    <row r="50" spans="1:10" ht="15" customHeight="1">
      <c r="A50"/>
      <c r="B50"/>
      <c r="C50"/>
      <c r="D50"/>
      <c r="E50"/>
      <c r="F50"/>
      <c r="G50"/>
      <c r="H50"/>
      <c r="I50"/>
      <c r="J50"/>
    </row>
    <row r="51" spans="1:10" ht="15" customHeight="1">
      <c r="A51"/>
      <c r="B51"/>
      <c r="C51"/>
      <c r="D51"/>
      <c r="E51"/>
      <c r="F51"/>
      <c r="G51"/>
      <c r="H51"/>
      <c r="I51"/>
      <c r="J51"/>
    </row>
    <row r="52" spans="1:10" ht="15" customHeight="1">
      <c r="A52"/>
      <c r="B52"/>
      <c r="C52"/>
      <c r="D52"/>
      <c r="E52"/>
      <c r="F52"/>
      <c r="G52"/>
      <c r="H52"/>
      <c r="I52"/>
      <c r="J52"/>
    </row>
    <row r="53" spans="1:10" ht="15" customHeight="1">
      <c r="A53"/>
      <c r="B53"/>
      <c r="C53"/>
      <c r="D53"/>
      <c r="E53"/>
      <c r="F53"/>
      <c r="G53"/>
      <c r="H53"/>
      <c r="I53"/>
      <c r="J53"/>
    </row>
    <row r="54" spans="1:10" ht="15" customHeight="1">
      <c r="A54"/>
      <c r="B54"/>
      <c r="C54"/>
      <c r="D54"/>
      <c r="E54"/>
      <c r="F54"/>
      <c r="G54"/>
      <c r="H54"/>
      <c r="I54"/>
      <c r="J54"/>
    </row>
    <row r="55" spans="1:10" ht="15" customHeight="1">
      <c r="A55"/>
      <c r="B55"/>
      <c r="C55"/>
      <c r="D55"/>
      <c r="E55"/>
      <c r="F55"/>
      <c r="G55"/>
      <c r="H55"/>
      <c r="I55"/>
      <c r="J55"/>
    </row>
    <row r="56" spans="1:10" ht="15" customHeight="1">
      <c r="A56"/>
      <c r="B56"/>
      <c r="C56"/>
      <c r="D56"/>
      <c r="E56"/>
      <c r="F56"/>
      <c r="G56"/>
      <c r="H56"/>
      <c r="I56"/>
      <c r="J56"/>
    </row>
    <row r="57" spans="1:10" ht="15" customHeight="1">
      <c r="A57"/>
      <c r="B57"/>
      <c r="C57"/>
      <c r="D57"/>
      <c r="E57"/>
      <c r="F57"/>
      <c r="G57"/>
      <c r="H57"/>
      <c r="I57"/>
      <c r="J57"/>
    </row>
    <row r="58" spans="1:10" ht="15" customHeight="1">
      <c r="A58"/>
      <c r="B58"/>
      <c r="C58"/>
      <c r="D58"/>
      <c r="E58"/>
      <c r="F58"/>
      <c r="G58"/>
      <c r="H58"/>
      <c r="I58"/>
      <c r="J58"/>
    </row>
    <row r="59" spans="1:10" ht="15" customHeight="1">
      <c r="A59"/>
      <c r="B59"/>
      <c r="C59"/>
      <c r="D59"/>
      <c r="E59"/>
      <c r="F59"/>
      <c r="G59"/>
      <c r="H59"/>
      <c r="I59"/>
      <c r="J59"/>
    </row>
    <row r="60" spans="1:10" ht="15" customHeight="1">
      <c r="A60"/>
      <c r="B60"/>
      <c r="C60"/>
      <c r="D60"/>
      <c r="E60"/>
      <c r="F60"/>
      <c r="G60"/>
      <c r="H60"/>
      <c r="I60"/>
      <c r="J60"/>
    </row>
    <row r="61" spans="1:10" ht="15" customHeight="1">
      <c r="A61"/>
      <c r="B61"/>
      <c r="C61"/>
      <c r="D61"/>
      <c r="E61"/>
      <c r="F61"/>
      <c r="G61"/>
      <c r="H61"/>
      <c r="I61"/>
      <c r="J61"/>
    </row>
    <row r="62" spans="1:10" ht="15" customHeight="1">
      <c r="A62"/>
      <c r="B62"/>
      <c r="C62"/>
      <c r="D62"/>
      <c r="E62"/>
      <c r="F62"/>
      <c r="G62"/>
      <c r="H62"/>
      <c r="I62"/>
      <c r="J62"/>
    </row>
    <row r="63" spans="1:10" ht="15" customHeight="1">
      <c r="A63"/>
      <c r="B63"/>
      <c r="C63"/>
      <c r="D63"/>
      <c r="E63"/>
      <c r="F63"/>
      <c r="G63"/>
      <c r="H63"/>
      <c r="I63"/>
      <c r="J63"/>
    </row>
    <row r="64" spans="1:10" ht="15" customHeight="1">
      <c r="A64"/>
      <c r="B64"/>
      <c r="C64"/>
      <c r="D64"/>
      <c r="E64"/>
      <c r="F64"/>
      <c r="G64"/>
      <c r="H64"/>
      <c r="I64"/>
      <c r="J64"/>
    </row>
    <row r="65" spans="1:10" ht="15" customHeight="1">
      <c r="A65"/>
      <c r="B65"/>
      <c r="C65"/>
      <c r="D65"/>
      <c r="E65"/>
      <c r="F65"/>
      <c r="G65"/>
      <c r="H65"/>
      <c r="I65"/>
      <c r="J65"/>
    </row>
    <row r="66" spans="1:10" ht="15" customHeight="1">
      <c r="A66"/>
      <c r="B66"/>
      <c r="C66"/>
      <c r="D66"/>
      <c r="E66"/>
      <c r="F66"/>
      <c r="G66"/>
      <c r="H66"/>
      <c r="I66"/>
      <c r="J66"/>
    </row>
    <row r="67" spans="1:10" ht="15" customHeight="1">
      <c r="A67"/>
      <c r="B67"/>
      <c r="C67"/>
      <c r="D67"/>
      <c r="E67"/>
      <c r="F67"/>
      <c r="G67"/>
      <c r="H67"/>
      <c r="I67"/>
      <c r="J67"/>
    </row>
    <row r="68" spans="1:10" ht="15" customHeight="1">
      <c r="A68"/>
      <c r="B68"/>
      <c r="C68"/>
      <c r="D68"/>
      <c r="E68"/>
      <c r="F68"/>
      <c r="G68"/>
      <c r="H68"/>
      <c r="I68"/>
      <c r="J68"/>
    </row>
    <row r="69" spans="1:10" ht="15" customHeight="1">
      <c r="A69"/>
      <c r="B69"/>
      <c r="C69"/>
      <c r="D69"/>
      <c r="E69"/>
      <c r="F69"/>
      <c r="G69"/>
      <c r="H69"/>
      <c r="I69"/>
      <c r="J69"/>
    </row>
    <row r="70" spans="1:10" ht="15" customHeight="1">
      <c r="A70"/>
      <c r="B70"/>
      <c r="C70"/>
      <c r="D70"/>
      <c r="E70"/>
      <c r="F70"/>
      <c r="G70"/>
      <c r="H70"/>
      <c r="I70"/>
      <c r="J70"/>
    </row>
    <row r="71" spans="1:10" ht="15" customHeight="1">
      <c r="A71"/>
      <c r="B71"/>
      <c r="C71"/>
      <c r="D71"/>
      <c r="E71"/>
      <c r="F71"/>
      <c r="G71"/>
      <c r="H71"/>
      <c r="I71"/>
      <c r="J71"/>
    </row>
    <row r="72" spans="1:10" ht="15" customHeight="1">
      <c r="A72"/>
      <c r="B72"/>
      <c r="C72"/>
      <c r="D72"/>
      <c r="E72"/>
      <c r="F72"/>
      <c r="G72"/>
      <c r="H72"/>
      <c r="I72"/>
      <c r="J72"/>
    </row>
    <row r="73" spans="1:10" ht="15" customHeight="1">
      <c r="A73"/>
      <c r="B73"/>
      <c r="C73"/>
      <c r="D73"/>
      <c r="E73"/>
      <c r="F73"/>
      <c r="G73"/>
      <c r="H73"/>
      <c r="I73"/>
      <c r="J73"/>
    </row>
    <row r="74" spans="1:10" ht="15" customHeight="1">
      <c r="A74"/>
      <c r="B74"/>
      <c r="C74"/>
      <c r="D74"/>
      <c r="E74"/>
      <c r="F74"/>
      <c r="G74"/>
      <c r="H74"/>
      <c r="I74"/>
      <c r="J74"/>
    </row>
    <row r="75" spans="1:10" ht="15" customHeight="1">
      <c r="A75"/>
      <c r="B75"/>
      <c r="C75"/>
      <c r="D75"/>
      <c r="E75"/>
      <c r="F75"/>
      <c r="G75"/>
      <c r="H75"/>
      <c r="I75"/>
      <c r="J75"/>
    </row>
    <row r="76" spans="1:10" ht="15" customHeight="1">
      <c r="A76"/>
      <c r="B76"/>
      <c r="C76"/>
      <c r="D76"/>
      <c r="E76"/>
      <c r="F76"/>
      <c r="G76"/>
      <c r="H76"/>
      <c r="I76"/>
      <c r="J76"/>
    </row>
    <row r="77" spans="1:10" ht="15" customHeight="1">
      <c r="A77"/>
      <c r="B77"/>
      <c r="C77"/>
      <c r="D77"/>
      <c r="E77"/>
      <c r="F77"/>
      <c r="G77"/>
      <c r="H77"/>
      <c r="I77"/>
      <c r="J77"/>
    </row>
    <row r="78" spans="1:10" ht="15" customHeight="1">
      <c r="A78"/>
      <c r="B78"/>
      <c r="C78"/>
      <c r="D78"/>
      <c r="E78"/>
      <c r="F78"/>
      <c r="G78"/>
      <c r="H78"/>
      <c r="I78"/>
      <c r="J78"/>
    </row>
    <row r="79" spans="1:10" ht="15" customHeight="1">
      <c r="A79"/>
      <c r="B79"/>
      <c r="C79"/>
      <c r="D79"/>
      <c r="E79"/>
      <c r="F79"/>
      <c r="G79"/>
      <c r="H79"/>
      <c r="I79"/>
      <c r="J79"/>
    </row>
    <row r="80" spans="1:10" ht="15" customHeight="1">
      <c r="A80"/>
      <c r="B80"/>
      <c r="C80"/>
      <c r="D80"/>
      <c r="E80"/>
      <c r="F80"/>
      <c r="G80"/>
      <c r="H80"/>
      <c r="I80"/>
      <c r="J80"/>
    </row>
    <row r="81" spans="1:10" ht="15" customHeight="1">
      <c r="A81"/>
      <c r="B81"/>
      <c r="C81"/>
      <c r="D81"/>
      <c r="E81"/>
      <c r="F81"/>
      <c r="G81"/>
      <c r="H81"/>
      <c r="I81"/>
      <c r="J81"/>
    </row>
    <row r="82" spans="1:10" ht="15" customHeight="1">
      <c r="A82"/>
      <c r="B82"/>
      <c r="C82"/>
      <c r="D82"/>
      <c r="E82"/>
      <c r="F82"/>
      <c r="G82"/>
      <c r="H82"/>
      <c r="I82"/>
      <c r="J82"/>
    </row>
    <row r="83" spans="1:10" ht="15" customHeight="1">
      <c r="A83"/>
      <c r="B83"/>
      <c r="C83"/>
      <c r="D83"/>
      <c r="E83"/>
      <c r="F83"/>
      <c r="G83"/>
      <c r="H83"/>
      <c r="I83"/>
      <c r="J83"/>
    </row>
    <row r="84" spans="1:10" ht="15" customHeight="1">
      <c r="A84"/>
      <c r="B84"/>
      <c r="C84"/>
      <c r="D84"/>
      <c r="E84"/>
      <c r="F84"/>
      <c r="G84"/>
      <c r="H84"/>
      <c r="I84"/>
      <c r="J84"/>
    </row>
    <row r="85" spans="1:10" ht="15" customHeight="1">
      <c r="A85"/>
      <c r="B85"/>
      <c r="C85"/>
      <c r="D85"/>
      <c r="E85"/>
      <c r="F85"/>
      <c r="G85"/>
      <c r="H85"/>
      <c r="I85"/>
      <c r="J85"/>
    </row>
    <row r="86" spans="1:10" ht="15" customHeight="1">
      <c r="A86"/>
      <c r="B86"/>
      <c r="C86"/>
      <c r="D86"/>
      <c r="E86"/>
      <c r="F86"/>
      <c r="G86"/>
      <c r="H86"/>
      <c r="I86"/>
      <c r="J86"/>
    </row>
    <row r="87" spans="1:10" ht="15" customHeight="1">
      <c r="A87"/>
      <c r="B87"/>
      <c r="C87"/>
      <c r="D87"/>
      <c r="E87"/>
      <c r="F87"/>
      <c r="G87"/>
      <c r="H87"/>
      <c r="I87"/>
      <c r="J87"/>
    </row>
    <row r="88" spans="1:10" ht="15" customHeight="1">
      <c r="A88"/>
      <c r="B88"/>
      <c r="C88"/>
      <c r="D88"/>
      <c r="E88"/>
      <c r="F88"/>
      <c r="G88"/>
      <c r="H88"/>
      <c r="I88"/>
      <c r="J88"/>
    </row>
    <row r="89" spans="1:10" ht="15" customHeight="1">
      <c r="A89"/>
      <c r="B89"/>
      <c r="C89"/>
      <c r="D89"/>
      <c r="E89"/>
      <c r="F89"/>
      <c r="G89"/>
      <c r="H89"/>
      <c r="I89"/>
      <c r="J89"/>
    </row>
    <row r="90" spans="1:10" ht="15" customHeight="1">
      <c r="A90"/>
      <c r="B90"/>
      <c r="C90"/>
      <c r="D90"/>
      <c r="E90"/>
      <c r="F90"/>
      <c r="G90"/>
      <c r="H90"/>
      <c r="I90"/>
      <c r="J90"/>
    </row>
    <row r="91" spans="1:10" ht="15" customHeight="1">
      <c r="A91"/>
      <c r="B91"/>
      <c r="C91"/>
      <c r="D91"/>
      <c r="E91"/>
      <c r="F91"/>
      <c r="G91"/>
      <c r="H91"/>
      <c r="I91"/>
      <c r="J91"/>
    </row>
    <row r="92" spans="1:10" ht="15" customHeight="1">
      <c r="A92"/>
      <c r="B92"/>
      <c r="C92"/>
      <c r="D92"/>
      <c r="E92"/>
      <c r="F92"/>
      <c r="G92"/>
      <c r="H92"/>
      <c r="I92"/>
      <c r="J92"/>
    </row>
    <row r="93" spans="1:10" ht="15" customHeight="1">
      <c r="A93"/>
      <c r="B93"/>
      <c r="C93"/>
      <c r="D93"/>
      <c r="E93"/>
      <c r="F93"/>
      <c r="G93"/>
      <c r="H93"/>
      <c r="I93"/>
      <c r="J93"/>
    </row>
    <row r="94" spans="1:10" ht="15" customHeight="1">
      <c r="A94"/>
      <c r="B94"/>
      <c r="C94"/>
      <c r="D94"/>
      <c r="E94"/>
      <c r="F94"/>
      <c r="G94"/>
      <c r="H94"/>
      <c r="I94"/>
      <c r="J94"/>
    </row>
    <row r="95" spans="1:10" ht="15" customHeight="1">
      <c r="A95"/>
      <c r="B95"/>
      <c r="C95"/>
      <c r="D95"/>
      <c r="E95"/>
      <c r="F95"/>
      <c r="G95"/>
      <c r="H95"/>
      <c r="I95"/>
      <c r="J95"/>
    </row>
    <row r="96" spans="1:10" ht="15" customHeight="1">
      <c r="A96"/>
      <c r="B96"/>
      <c r="C96"/>
      <c r="D96"/>
      <c r="E96"/>
      <c r="F96"/>
      <c r="G96"/>
      <c r="H96"/>
      <c r="I96"/>
      <c r="J96"/>
    </row>
    <row r="97" spans="1:10" ht="15" customHeight="1">
      <c r="A97"/>
      <c r="B97"/>
      <c r="C97"/>
      <c r="D97"/>
      <c r="E97"/>
      <c r="F97"/>
      <c r="G97"/>
      <c r="H97"/>
      <c r="I97"/>
      <c r="J97"/>
    </row>
    <row r="98" spans="1:10" ht="15" customHeight="1">
      <c r="A98"/>
      <c r="B98"/>
      <c r="C98"/>
      <c r="D98"/>
      <c r="E98"/>
      <c r="F98"/>
      <c r="G98"/>
      <c r="H98"/>
      <c r="I98"/>
      <c r="J98"/>
    </row>
    <row r="99" spans="1:10" ht="15" customHeight="1">
      <c r="A99"/>
      <c r="B99"/>
      <c r="C99"/>
      <c r="D99"/>
      <c r="E99"/>
      <c r="F99"/>
      <c r="G99"/>
      <c r="H99"/>
      <c r="I99"/>
      <c r="J99"/>
    </row>
    <row r="100" spans="1:10" ht="15" customHeight="1">
      <c r="A100"/>
      <c r="B100"/>
      <c r="C100"/>
      <c r="D100"/>
      <c r="E100"/>
      <c r="F100"/>
      <c r="G100"/>
      <c r="H100"/>
      <c r="I100"/>
      <c r="J100"/>
    </row>
    <row r="101" spans="1:10" ht="15" customHeight="1">
      <c r="A101"/>
      <c r="B101"/>
      <c r="C101"/>
      <c r="D101"/>
      <c r="E101"/>
      <c r="F101"/>
      <c r="G101"/>
      <c r="H101"/>
      <c r="I101"/>
      <c r="J101"/>
    </row>
    <row r="102" spans="1:10" ht="15" customHeight="1">
      <c r="A102"/>
      <c r="B102"/>
      <c r="C102"/>
      <c r="D102"/>
      <c r="E102"/>
      <c r="F102"/>
      <c r="G102"/>
      <c r="H102"/>
      <c r="I102"/>
      <c r="J102"/>
    </row>
    <row r="103" spans="1:10" ht="15" customHeight="1">
      <c r="A103"/>
      <c r="B103"/>
      <c r="C103"/>
      <c r="D103"/>
      <c r="E103"/>
      <c r="F103"/>
      <c r="G103"/>
      <c r="H103"/>
      <c r="I103"/>
      <c r="J103"/>
    </row>
    <row r="104" spans="1:10" ht="15" customHeight="1">
      <c r="A104"/>
      <c r="B104"/>
      <c r="C104"/>
      <c r="D104"/>
      <c r="E104"/>
      <c r="F104"/>
      <c r="G104"/>
      <c r="H104"/>
      <c r="I104"/>
      <c r="J104"/>
    </row>
    <row r="105" spans="1:10" ht="15" customHeight="1">
      <c r="A105"/>
      <c r="B105"/>
      <c r="C105"/>
      <c r="D105"/>
      <c r="E105"/>
      <c r="F105"/>
      <c r="G105"/>
      <c r="H105"/>
      <c r="I105"/>
      <c r="J105"/>
    </row>
    <row r="106" spans="1:10" ht="15" customHeight="1">
      <c r="A106"/>
      <c r="B106"/>
      <c r="C106"/>
      <c r="D106"/>
      <c r="E106"/>
      <c r="F106"/>
      <c r="G106"/>
      <c r="H106"/>
      <c r="I106"/>
      <c r="J106"/>
    </row>
    <row r="107" spans="1:10" ht="15" customHeight="1">
      <c r="A107"/>
      <c r="B107"/>
      <c r="C107"/>
      <c r="D107"/>
      <c r="E107"/>
      <c r="F107"/>
      <c r="G107"/>
      <c r="H107"/>
      <c r="I107"/>
      <c r="J107"/>
    </row>
    <row r="108" spans="1:10" ht="15" customHeight="1">
      <c r="A108"/>
      <c r="B108"/>
      <c r="C108"/>
      <c r="D108"/>
      <c r="E108"/>
      <c r="F108"/>
      <c r="G108"/>
      <c r="H108"/>
      <c r="I108"/>
      <c r="J108"/>
    </row>
    <row r="109" spans="1:10" ht="15" customHeight="1">
      <c r="A109"/>
      <c r="B109"/>
      <c r="C109"/>
      <c r="D109"/>
      <c r="E109"/>
      <c r="F109"/>
      <c r="G109"/>
      <c r="H109"/>
      <c r="I109"/>
      <c r="J109"/>
    </row>
    <row r="110" spans="1:10" ht="15" customHeight="1">
      <c r="A110"/>
      <c r="B110"/>
      <c r="C110"/>
      <c r="D110"/>
      <c r="E110"/>
      <c r="F110"/>
      <c r="G110"/>
      <c r="H110"/>
      <c r="I110"/>
      <c r="J110"/>
    </row>
    <row r="111" spans="1:10" ht="15" customHeight="1">
      <c r="A111"/>
      <c r="B111"/>
      <c r="C111"/>
      <c r="D111"/>
      <c r="E111"/>
      <c r="F111"/>
      <c r="G111"/>
      <c r="H111"/>
      <c r="I111"/>
      <c r="J111"/>
    </row>
    <row r="112" spans="1:10" ht="15" customHeight="1">
      <c r="A112"/>
      <c r="B112"/>
      <c r="C112"/>
      <c r="D112"/>
      <c r="E112"/>
      <c r="F112"/>
      <c r="G112"/>
      <c r="H112"/>
      <c r="I112"/>
      <c r="J112"/>
    </row>
    <row r="113" spans="1:10" ht="15" customHeight="1">
      <c r="A113"/>
      <c r="B113"/>
      <c r="C113"/>
      <c r="D113"/>
      <c r="E113"/>
      <c r="F113"/>
      <c r="G113"/>
      <c r="H113"/>
      <c r="I113"/>
      <c r="J113"/>
    </row>
    <row r="114" spans="1:10" ht="15" customHeight="1">
      <c r="A114"/>
      <c r="B114"/>
      <c r="C114"/>
      <c r="D114"/>
      <c r="E114"/>
      <c r="F114"/>
      <c r="G114"/>
      <c r="H114"/>
      <c r="I114"/>
      <c r="J114"/>
    </row>
    <row r="115" spans="1:10" ht="15" customHeight="1">
      <c r="A115"/>
      <c r="B115"/>
      <c r="C115"/>
      <c r="D115"/>
      <c r="E115"/>
      <c r="F115"/>
      <c r="G115"/>
      <c r="H115"/>
      <c r="I115"/>
      <c r="J115"/>
    </row>
    <row r="116" spans="1:10" ht="15" customHeight="1">
      <c r="A116"/>
      <c r="B116"/>
      <c r="C116"/>
      <c r="D116"/>
      <c r="E116"/>
      <c r="F116"/>
      <c r="G116"/>
      <c r="H116"/>
      <c r="I116"/>
      <c r="J116"/>
    </row>
    <row r="117" spans="1:10" ht="15" customHeight="1">
      <c r="A117"/>
      <c r="B117"/>
      <c r="C117"/>
      <c r="D117"/>
      <c r="E117"/>
      <c r="F117"/>
      <c r="G117"/>
      <c r="H117"/>
      <c r="I117"/>
      <c r="J117"/>
    </row>
    <row r="118" spans="1:10" ht="15" customHeight="1">
      <c r="A118"/>
      <c r="B118"/>
      <c r="C118"/>
      <c r="D118"/>
      <c r="E118"/>
      <c r="F118"/>
      <c r="G118"/>
      <c r="H118"/>
      <c r="I118"/>
      <c r="J118"/>
    </row>
    <row r="119" spans="1:10" ht="15" customHeight="1">
      <c r="A119"/>
      <c r="B119"/>
      <c r="C119"/>
      <c r="D119"/>
      <c r="E119"/>
      <c r="F119"/>
      <c r="G119"/>
      <c r="H119"/>
      <c r="I119"/>
      <c r="J119"/>
    </row>
    <row r="120" spans="1:10" ht="15" customHeight="1">
      <c r="A120"/>
      <c r="B120"/>
      <c r="C120"/>
      <c r="D120"/>
      <c r="E120"/>
      <c r="F120"/>
      <c r="G120"/>
      <c r="H120"/>
      <c r="I120"/>
      <c r="J120"/>
    </row>
    <row r="121" spans="1:10" ht="15" customHeight="1">
      <c r="A121"/>
      <c r="B121"/>
      <c r="C121"/>
      <c r="D121"/>
      <c r="E121"/>
      <c r="F121"/>
      <c r="G121"/>
      <c r="H121"/>
      <c r="I121"/>
      <c r="J121"/>
    </row>
    <row r="122" spans="1:10" ht="15" customHeight="1">
      <c r="A122"/>
      <c r="B122"/>
      <c r="C122"/>
      <c r="D122"/>
      <c r="E122"/>
      <c r="F122"/>
      <c r="G122"/>
      <c r="H122"/>
      <c r="I122"/>
      <c r="J122"/>
    </row>
    <row r="123" spans="1:10" ht="15" customHeight="1">
      <c r="A123"/>
      <c r="B123"/>
      <c r="C123"/>
      <c r="D123"/>
      <c r="E123"/>
      <c r="F123"/>
      <c r="G123"/>
      <c r="H123"/>
      <c r="I123"/>
      <c r="J123"/>
    </row>
    <row r="124" spans="1:10" ht="15" customHeight="1">
      <c r="A124"/>
      <c r="B124"/>
      <c r="C124"/>
      <c r="D124"/>
      <c r="E124"/>
      <c r="F124"/>
      <c r="G124"/>
      <c r="H124"/>
      <c r="I124"/>
      <c r="J124"/>
    </row>
    <row r="125" spans="1:10" ht="15" customHeight="1">
      <c r="A125"/>
      <c r="B125"/>
      <c r="C125"/>
      <c r="D125"/>
      <c r="E125"/>
      <c r="F125"/>
      <c r="G125"/>
      <c r="H125"/>
      <c r="I125"/>
      <c r="J125"/>
    </row>
    <row r="126" spans="1:10" ht="15" customHeight="1">
      <c r="A126"/>
      <c r="B126"/>
      <c r="C126"/>
      <c r="D126"/>
      <c r="E126"/>
      <c r="F126"/>
      <c r="G126"/>
      <c r="H126"/>
      <c r="I126"/>
      <c r="J126"/>
    </row>
    <row r="127" spans="1:10" ht="15" customHeight="1">
      <c r="A127"/>
      <c r="B127"/>
      <c r="C127"/>
      <c r="D127"/>
      <c r="E127"/>
      <c r="F127"/>
      <c r="G127"/>
      <c r="H127"/>
      <c r="I127"/>
      <c r="J127"/>
    </row>
    <row r="128" spans="1:10" ht="15" customHeight="1">
      <c r="A128"/>
      <c r="B128"/>
      <c r="C128"/>
      <c r="D128"/>
      <c r="E128"/>
      <c r="F128"/>
      <c r="G128"/>
      <c r="H128"/>
      <c r="I128"/>
      <c r="J128"/>
    </row>
    <row r="129" spans="1:10" ht="15" customHeight="1">
      <c r="A129"/>
      <c r="B129"/>
      <c r="C129"/>
      <c r="D129"/>
      <c r="E129"/>
      <c r="F129"/>
      <c r="G129"/>
      <c r="H129"/>
      <c r="I129"/>
      <c r="J129"/>
    </row>
    <row r="130" spans="1:10" ht="15" customHeight="1">
      <c r="A130"/>
      <c r="B130"/>
      <c r="C130"/>
      <c r="D130"/>
      <c r="E130"/>
      <c r="F130"/>
      <c r="G130"/>
      <c r="H130"/>
      <c r="I130"/>
      <c r="J130"/>
    </row>
    <row r="131" spans="1:10" ht="15" customHeight="1">
      <c r="A131"/>
      <c r="B131"/>
      <c r="C131"/>
      <c r="D131"/>
      <c r="E131"/>
      <c r="F131"/>
      <c r="G131"/>
      <c r="H131"/>
      <c r="I131"/>
      <c r="J131"/>
    </row>
    <row r="132" spans="1:10" ht="15" customHeight="1">
      <c r="A132"/>
      <c r="B132"/>
      <c r="C132"/>
      <c r="D132"/>
      <c r="E132"/>
      <c r="F132"/>
      <c r="G132"/>
      <c r="H132"/>
      <c r="I132"/>
      <c r="J132"/>
    </row>
    <row r="133" spans="1:10" ht="15" customHeight="1">
      <c r="A133"/>
      <c r="B133"/>
      <c r="C133"/>
      <c r="D133"/>
      <c r="E133"/>
      <c r="F133"/>
      <c r="G133"/>
      <c r="H133"/>
      <c r="I133"/>
      <c r="J133"/>
    </row>
    <row r="134" spans="1:10" ht="15" customHeight="1">
      <c r="A134"/>
      <c r="B134"/>
      <c r="C134"/>
      <c r="D134"/>
      <c r="E134"/>
      <c r="F134"/>
      <c r="G134"/>
      <c r="H134"/>
      <c r="I134"/>
      <c r="J134"/>
    </row>
    <row r="135" spans="1:10" ht="15" customHeight="1">
      <c r="A135"/>
      <c r="B135"/>
      <c r="C135"/>
      <c r="D135"/>
      <c r="E135"/>
      <c r="F135"/>
      <c r="G135"/>
      <c r="H135"/>
      <c r="I135"/>
      <c r="J135"/>
    </row>
    <row r="136" spans="1:10" ht="15" customHeight="1">
      <c r="A136"/>
      <c r="B136"/>
      <c r="C136"/>
      <c r="D136"/>
      <c r="E136"/>
      <c r="F136"/>
      <c r="G136"/>
      <c r="H136"/>
      <c r="I136"/>
      <c r="J136"/>
    </row>
    <row r="137" spans="1:10" ht="15" customHeight="1">
      <c r="A137"/>
      <c r="B137"/>
      <c r="C137"/>
      <c r="D137"/>
      <c r="E137"/>
      <c r="F137"/>
      <c r="G137"/>
      <c r="H137"/>
      <c r="I137"/>
      <c r="J137"/>
    </row>
    <row r="138" spans="1:10" ht="15" customHeight="1">
      <c r="A138"/>
      <c r="B138"/>
      <c r="C138"/>
      <c r="D138"/>
      <c r="E138"/>
      <c r="F138"/>
      <c r="G138"/>
      <c r="H138"/>
      <c r="I138"/>
      <c r="J138"/>
    </row>
    <row r="139" spans="1:10" ht="15" customHeight="1">
      <c r="A139"/>
      <c r="B139"/>
      <c r="C139"/>
      <c r="D139"/>
      <c r="E139"/>
      <c r="F139"/>
      <c r="G139"/>
      <c r="H139"/>
      <c r="I139"/>
      <c r="J139"/>
    </row>
    <row r="140" spans="1:10" ht="15" customHeight="1">
      <c r="A140"/>
      <c r="B140"/>
      <c r="C140"/>
      <c r="D140"/>
      <c r="E140"/>
      <c r="F140"/>
      <c r="G140"/>
      <c r="H140"/>
      <c r="I140"/>
      <c r="J140"/>
    </row>
    <row r="141" spans="1:10" ht="15" customHeight="1">
      <c r="A141"/>
      <c r="B141"/>
      <c r="C141"/>
      <c r="D141"/>
      <c r="E141"/>
      <c r="F141"/>
      <c r="G141"/>
      <c r="H141"/>
      <c r="I141"/>
      <c r="J141"/>
    </row>
    <row r="142" spans="1:10" ht="15" customHeight="1">
      <c r="A142"/>
      <c r="B142"/>
      <c r="C142"/>
      <c r="D142"/>
      <c r="E142"/>
      <c r="F142"/>
      <c r="G142"/>
      <c r="H142"/>
      <c r="I142"/>
      <c r="J142"/>
    </row>
    <row r="143" spans="1:10" ht="15" customHeight="1">
      <c r="A143"/>
      <c r="B143"/>
      <c r="C143"/>
      <c r="D143"/>
      <c r="E143"/>
      <c r="F143"/>
      <c r="G143"/>
      <c r="H143"/>
      <c r="I143"/>
      <c r="J143"/>
    </row>
    <row r="144" spans="1:10" ht="15" customHeight="1">
      <c r="A144"/>
      <c r="B144"/>
      <c r="C144"/>
      <c r="D144"/>
      <c r="E144"/>
      <c r="F144"/>
      <c r="G144"/>
      <c r="H144"/>
      <c r="I144"/>
      <c r="J144"/>
    </row>
    <row r="145" spans="1:10" ht="15" customHeight="1">
      <c r="A145"/>
      <c r="B145"/>
      <c r="C145"/>
      <c r="D145"/>
      <c r="E145"/>
      <c r="F145"/>
      <c r="G145"/>
      <c r="H145"/>
      <c r="I145"/>
      <c r="J145"/>
    </row>
    <row r="146" spans="1:10" ht="15" customHeight="1">
      <c r="A146"/>
      <c r="B146"/>
      <c r="C146"/>
      <c r="D146"/>
      <c r="E146"/>
      <c r="F146"/>
      <c r="G146"/>
      <c r="H146"/>
      <c r="I146"/>
      <c r="J146"/>
    </row>
    <row r="147" spans="1:10" ht="15" customHeight="1">
      <c r="A147"/>
      <c r="B147"/>
      <c r="C147"/>
      <c r="D147"/>
      <c r="E147"/>
      <c r="F147"/>
      <c r="G147"/>
      <c r="H147"/>
      <c r="I147"/>
      <c r="J147"/>
    </row>
    <row r="148" spans="1:10" ht="15" customHeight="1">
      <c r="A148"/>
      <c r="B148"/>
      <c r="C148"/>
      <c r="D148"/>
      <c r="E148"/>
      <c r="F148"/>
      <c r="G148"/>
      <c r="H148"/>
      <c r="I148"/>
      <c r="J148"/>
    </row>
    <row r="149" spans="1:10" ht="15" customHeight="1">
      <c r="A149"/>
      <c r="B149"/>
      <c r="C149"/>
      <c r="D149"/>
      <c r="E149"/>
      <c r="F149"/>
      <c r="G149"/>
      <c r="H149"/>
      <c r="I149"/>
      <c r="J149"/>
    </row>
    <row r="150" spans="1:10" ht="15" customHeight="1">
      <c r="A150"/>
      <c r="B150"/>
      <c r="C150"/>
      <c r="D150"/>
      <c r="E150"/>
      <c r="F150"/>
      <c r="G150"/>
      <c r="H150"/>
      <c r="I150"/>
      <c r="J150"/>
    </row>
    <row r="151" spans="1:10" ht="15" customHeight="1">
      <c r="A151"/>
      <c r="B151"/>
      <c r="C151"/>
      <c r="D151"/>
      <c r="E151"/>
      <c r="F151"/>
      <c r="G151"/>
      <c r="H151"/>
      <c r="I151"/>
      <c r="J151"/>
    </row>
    <row r="152" spans="1:10" ht="15" customHeight="1">
      <c r="A152"/>
      <c r="B152"/>
      <c r="C152"/>
      <c r="D152"/>
      <c r="E152"/>
      <c r="F152"/>
      <c r="G152"/>
      <c r="H152"/>
      <c r="I152"/>
      <c r="J152"/>
    </row>
    <row r="153" spans="1:10" ht="15" customHeight="1">
      <c r="A153"/>
      <c r="B153"/>
      <c r="C153"/>
      <c r="D153"/>
      <c r="E153"/>
      <c r="F153"/>
      <c r="G153"/>
      <c r="H153"/>
      <c r="I153"/>
      <c r="J153"/>
    </row>
    <row r="154" spans="1:10" ht="15" customHeight="1">
      <c r="A154"/>
      <c r="B154"/>
      <c r="C154"/>
      <c r="D154"/>
      <c r="E154"/>
      <c r="F154"/>
      <c r="G154"/>
      <c r="H154"/>
      <c r="I154"/>
      <c r="J154"/>
    </row>
    <row r="155" spans="1:10" ht="15" customHeight="1">
      <c r="A155"/>
      <c r="B155"/>
      <c r="C155"/>
      <c r="D155"/>
      <c r="E155"/>
      <c r="F155"/>
      <c r="G155"/>
      <c r="H155"/>
      <c r="I155"/>
      <c r="J155"/>
    </row>
    <row r="156" spans="1:10" ht="15" customHeight="1">
      <c r="A156"/>
      <c r="B156"/>
      <c r="C156"/>
      <c r="D156"/>
      <c r="E156"/>
      <c r="F156"/>
      <c r="G156"/>
      <c r="H156"/>
      <c r="I156"/>
      <c r="J156"/>
    </row>
    <row r="157" spans="1:10" ht="15" customHeight="1">
      <c r="A157"/>
      <c r="B157"/>
      <c r="C157"/>
      <c r="D157"/>
      <c r="E157"/>
      <c r="F157"/>
      <c r="G157"/>
      <c r="H157"/>
      <c r="I157"/>
      <c r="J157"/>
    </row>
    <row r="158" spans="1:10" ht="15" customHeight="1">
      <c r="A158"/>
      <c r="B158"/>
      <c r="C158"/>
      <c r="D158"/>
      <c r="E158"/>
      <c r="F158"/>
      <c r="G158"/>
      <c r="H158"/>
      <c r="I158"/>
      <c r="J158"/>
    </row>
    <row r="159" spans="1:10" ht="15" customHeight="1">
      <c r="A159"/>
      <c r="B159"/>
      <c r="C159"/>
      <c r="D159"/>
      <c r="E159"/>
      <c r="F159"/>
      <c r="G159"/>
      <c r="H159"/>
      <c r="I159"/>
      <c r="J159"/>
    </row>
    <row r="160" spans="1:10" ht="15" customHeight="1">
      <c r="A160"/>
      <c r="B160"/>
      <c r="C160"/>
      <c r="D160"/>
      <c r="E160"/>
      <c r="F160"/>
      <c r="G160"/>
      <c r="H160"/>
      <c r="I160"/>
      <c r="J160"/>
    </row>
    <row r="161" spans="1:10" ht="15" customHeight="1">
      <c r="A161"/>
      <c r="B161"/>
      <c r="C161"/>
      <c r="D161"/>
      <c r="E161"/>
      <c r="F161"/>
      <c r="G161"/>
      <c r="H161"/>
      <c r="I161"/>
      <c r="J161"/>
    </row>
    <row r="162" spans="1:10" ht="15" customHeight="1">
      <c r="A162"/>
      <c r="B162"/>
      <c r="C162"/>
      <c r="D162"/>
      <c r="E162"/>
      <c r="F162"/>
      <c r="G162"/>
      <c r="H162"/>
      <c r="I162"/>
      <c r="J162"/>
    </row>
    <row r="163" spans="1:10" ht="15" customHeight="1">
      <c r="A163"/>
      <c r="B163"/>
      <c r="C163"/>
      <c r="D163"/>
      <c r="E163"/>
      <c r="F163"/>
      <c r="G163"/>
      <c r="H163"/>
      <c r="I163"/>
      <c r="J163"/>
    </row>
    <row r="164" spans="1:10" ht="15" customHeight="1">
      <c r="A164"/>
      <c r="B164"/>
      <c r="C164"/>
      <c r="D164"/>
      <c r="E164"/>
      <c r="F164"/>
      <c r="G164"/>
      <c r="H164"/>
      <c r="I164"/>
      <c r="J164"/>
    </row>
    <row r="165" spans="1:10" ht="15" customHeight="1">
      <c r="A165"/>
      <c r="B165"/>
      <c r="C165"/>
      <c r="D165"/>
      <c r="E165"/>
      <c r="F165"/>
      <c r="G165"/>
      <c r="H165"/>
      <c r="I165"/>
      <c r="J165"/>
    </row>
    <row r="166" spans="1:10" ht="15" customHeight="1">
      <c r="A166"/>
      <c r="B166"/>
      <c r="C166"/>
      <c r="D166"/>
      <c r="E166"/>
      <c r="F166"/>
      <c r="G166"/>
      <c r="H166"/>
      <c r="I166"/>
      <c r="J166"/>
    </row>
    <row r="167" spans="1:10" ht="15" customHeight="1">
      <c r="A167"/>
      <c r="B167"/>
      <c r="C167"/>
      <c r="D167"/>
      <c r="E167"/>
      <c r="F167"/>
      <c r="G167"/>
      <c r="H167"/>
      <c r="I167"/>
      <c r="J167"/>
    </row>
    <row r="168" spans="1:10" ht="15" customHeight="1">
      <c r="A168"/>
      <c r="B168"/>
      <c r="C168"/>
      <c r="D168"/>
      <c r="E168"/>
      <c r="F168"/>
      <c r="G168"/>
      <c r="H168"/>
      <c r="I168"/>
      <c r="J168"/>
    </row>
    <row r="169" spans="1:10" ht="15" customHeight="1">
      <c r="A169"/>
      <c r="B169"/>
      <c r="C169"/>
      <c r="D169"/>
      <c r="E169"/>
      <c r="F169"/>
      <c r="G169"/>
      <c r="H169"/>
      <c r="I169"/>
      <c r="J169"/>
    </row>
    <row r="170" spans="1:10" ht="15" customHeight="1">
      <c r="A170"/>
      <c r="B170"/>
      <c r="C170"/>
      <c r="D170"/>
      <c r="E170"/>
      <c r="F170"/>
      <c r="G170"/>
      <c r="H170"/>
      <c r="I170"/>
      <c r="J170"/>
    </row>
    <row r="171" spans="1:10" ht="15" customHeight="1">
      <c r="A171"/>
      <c r="B171"/>
      <c r="C171"/>
      <c r="D171"/>
      <c r="E171"/>
      <c r="F171"/>
      <c r="G171"/>
      <c r="H171"/>
      <c r="I171"/>
      <c r="J171"/>
    </row>
    <row r="172" spans="1:10" ht="15" customHeight="1">
      <c r="A172"/>
      <c r="B172"/>
      <c r="C172"/>
      <c r="D172"/>
      <c r="E172"/>
      <c r="F172"/>
      <c r="G172"/>
      <c r="H172"/>
      <c r="I172"/>
      <c r="J172"/>
    </row>
    <row r="173" spans="1:10" ht="15" customHeight="1">
      <c r="A173"/>
      <c r="B173"/>
      <c r="C173"/>
      <c r="D173"/>
      <c r="E173"/>
      <c r="F173"/>
      <c r="G173"/>
      <c r="H173"/>
      <c r="I173"/>
      <c r="J173"/>
    </row>
    <row r="174" spans="1:10" ht="15" customHeight="1">
      <c r="A174"/>
      <c r="B174"/>
      <c r="C174"/>
      <c r="D174"/>
      <c r="E174"/>
      <c r="F174"/>
      <c r="G174"/>
      <c r="H174"/>
      <c r="I174"/>
      <c r="J174"/>
    </row>
  </sheetData>
  <sheetProtection/>
  <mergeCells count="1">
    <mergeCell ref="F2:G2"/>
  </mergeCells>
  <printOptions/>
  <pageMargins left="0.25" right="0" top="1" bottom="0" header="0.5" footer="0"/>
  <pageSetup horizontalDpi="300" verticalDpi="300" orientation="landscape" r:id="rId1"/>
  <headerFooter alignWithMargins="0">
    <oddHeader>&amp;RPage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148"/>
  <sheetViews>
    <sheetView zoomScalePageLayoutView="0" workbookViewId="0" topLeftCell="B1">
      <pane ySplit="6" topLeftCell="A106" activePane="bottomLeft" state="frozen"/>
      <selection pane="topLeft" activeCell="A1" sqref="A1"/>
      <selection pane="bottomLeft" activeCell="M124" sqref="M124"/>
    </sheetView>
  </sheetViews>
  <sheetFormatPr defaultColWidth="8.8515625" defaultRowHeight="12.75"/>
  <cols>
    <col min="1" max="1" width="9.57421875" style="45" bestFit="1" customWidth="1"/>
    <col min="2" max="2" width="44.7109375" style="45" bestFit="1" customWidth="1"/>
    <col min="3" max="3" width="8.140625" style="45" customWidth="1"/>
    <col min="4" max="4" width="9.140625" style="45" bestFit="1" customWidth="1"/>
    <col min="5" max="5" width="7.28125" style="136" customWidth="1"/>
    <col min="6" max="6" width="12.7109375" style="45" customWidth="1"/>
    <col min="7" max="7" width="14.00390625" style="136" bestFit="1" customWidth="1"/>
    <col min="8" max="8" width="9.8515625" style="45" customWidth="1"/>
    <col min="9" max="9" width="7.00390625" style="136" customWidth="1"/>
    <col min="10" max="10" width="10.28125" style="45" customWidth="1"/>
    <col min="11" max="16384" width="8.8515625" style="45" customWidth="1"/>
  </cols>
  <sheetData>
    <row r="1" spans="1:9" ht="12.75">
      <c r="A1" s="166" t="s">
        <v>369</v>
      </c>
      <c r="B1" s="195">
        <f>Spread!B1</f>
        <v>0</v>
      </c>
      <c r="C1" s="165" t="s">
        <v>370</v>
      </c>
      <c r="D1" s="196" t="e">
        <f>Spread!#REF!</f>
        <v>#REF!</v>
      </c>
      <c r="E1"/>
      <c r="F1" s="165" t="s">
        <v>371</v>
      </c>
      <c r="G1" s="51"/>
      <c r="H1" s="170" t="e">
        <f>Spread!#REF!</f>
        <v>#REF!</v>
      </c>
      <c r="I1" s="45"/>
    </row>
    <row r="2" spans="1:9" ht="12.75">
      <c r="A2" s="166"/>
      <c r="B2" s="195" t="e">
        <f>Spread!#REF!</f>
        <v>#REF!</v>
      </c>
      <c r="C2" s="51"/>
      <c r="D2" s="51"/>
      <c r="E2"/>
      <c r="F2" s="476" t="s">
        <v>447</v>
      </c>
      <c r="G2" s="476"/>
      <c r="H2" s="197" t="e">
        <f>Spread!#REF!</f>
        <v>#REF!</v>
      </c>
      <c r="I2" s="45"/>
    </row>
    <row r="3" spans="1:9" ht="12.75" customHeight="1">
      <c r="A3" s="168"/>
      <c r="B3" s="195">
        <f>Spread!B3</f>
        <v>0</v>
      </c>
      <c r="C3" s="165" t="s">
        <v>445</v>
      </c>
      <c r="D3" s="51" t="e">
        <f>Spread!#REF!</f>
        <v>#REF!</v>
      </c>
      <c r="E3" s="51"/>
      <c r="F3" s="51"/>
      <c r="G3" s="51"/>
      <c r="H3" s="51"/>
      <c r="I3" s="118"/>
    </row>
    <row r="4" spans="2:9" ht="12" customHeight="1">
      <c r="B4" s="119"/>
      <c r="E4" s="45"/>
      <c r="G4" s="45"/>
      <c r="I4" s="45"/>
    </row>
    <row r="5" spans="1:10" ht="12.75" customHeight="1">
      <c r="A5" s="120" t="s">
        <v>7</v>
      </c>
      <c r="B5" s="120" t="s">
        <v>0</v>
      </c>
      <c r="C5" s="120" t="s">
        <v>8</v>
      </c>
      <c r="D5" s="120" t="s">
        <v>9</v>
      </c>
      <c r="E5" s="121" t="s">
        <v>2</v>
      </c>
      <c r="F5" s="122"/>
      <c r="G5" s="121" t="s">
        <v>1</v>
      </c>
      <c r="H5" s="122"/>
      <c r="I5" s="121" t="s">
        <v>10</v>
      </c>
      <c r="J5" s="122"/>
    </row>
    <row r="6" spans="1:10" ht="12.75" customHeight="1" thickBot="1">
      <c r="A6" s="123"/>
      <c r="B6" s="123"/>
      <c r="C6" s="123"/>
      <c r="D6" s="123"/>
      <c r="E6" s="124" t="s">
        <v>11</v>
      </c>
      <c r="F6" s="123" t="s">
        <v>12</v>
      </c>
      <c r="G6" s="124" t="s">
        <v>11</v>
      </c>
      <c r="H6" s="123" t="s">
        <v>12</v>
      </c>
      <c r="I6" s="124" t="s">
        <v>13</v>
      </c>
      <c r="J6" s="123" t="s">
        <v>12</v>
      </c>
    </row>
    <row r="7" spans="1:10" ht="21" customHeight="1" thickTop="1">
      <c r="A7" s="41"/>
      <c r="B7" s="125" t="s">
        <v>19</v>
      </c>
      <c r="C7" s="41"/>
      <c r="D7" s="41"/>
      <c r="E7" s="126"/>
      <c r="F7" s="127"/>
      <c r="G7" s="126"/>
      <c r="H7" s="127"/>
      <c r="I7" s="126"/>
      <c r="J7" s="127"/>
    </row>
    <row r="8" spans="1:10" ht="21" customHeight="1">
      <c r="A8" s="60"/>
      <c r="B8" s="249" t="s">
        <v>388</v>
      </c>
      <c r="C8" s="60"/>
      <c r="D8" s="60"/>
      <c r="E8" s="176"/>
      <c r="F8" s="177"/>
      <c r="G8" s="176"/>
      <c r="H8" s="177"/>
      <c r="I8" s="176"/>
      <c r="J8" s="177"/>
    </row>
    <row r="9" spans="1:11" ht="21" customHeight="1">
      <c r="A9" s="128"/>
      <c r="B9" s="38" t="s">
        <v>293</v>
      </c>
      <c r="C9" s="38"/>
      <c r="D9" s="38" t="s">
        <v>15</v>
      </c>
      <c r="E9" s="46">
        <v>60</v>
      </c>
      <c r="F9" s="40">
        <f aca="true" t="shared" si="0" ref="F9:F37">C9*E9</f>
        <v>0</v>
      </c>
      <c r="G9" s="77">
        <v>70</v>
      </c>
      <c r="H9" s="40">
        <f aca="true" t="shared" si="1" ref="H9:H32">C9*G9</f>
        <v>0</v>
      </c>
      <c r="I9" s="46"/>
      <c r="J9" s="40">
        <f aca="true" t="shared" si="2" ref="J9:J37">C9*I9</f>
        <v>0</v>
      </c>
      <c r="K9" s="305">
        <f>F9+H9+J9</f>
        <v>0</v>
      </c>
    </row>
    <row r="10" spans="1:11" ht="21" customHeight="1">
      <c r="A10" s="128"/>
      <c r="B10" s="38" t="s">
        <v>72</v>
      </c>
      <c r="C10" s="38">
        <v>4</v>
      </c>
      <c r="D10" s="38" t="s">
        <v>68</v>
      </c>
      <c r="E10" s="46">
        <v>60</v>
      </c>
      <c r="F10" s="40">
        <f t="shared" si="0"/>
        <v>240</v>
      </c>
      <c r="G10" s="77">
        <v>125</v>
      </c>
      <c r="H10" s="40">
        <f t="shared" si="1"/>
        <v>500</v>
      </c>
      <c r="I10" s="46"/>
      <c r="J10" s="40">
        <f t="shared" si="2"/>
        <v>0</v>
      </c>
      <c r="K10" s="305">
        <f>F10+H10+J10</f>
        <v>740</v>
      </c>
    </row>
    <row r="11" spans="1:10" ht="21" customHeight="1">
      <c r="A11" s="128"/>
      <c r="B11" s="38" t="s">
        <v>154</v>
      </c>
      <c r="C11" s="38"/>
      <c r="D11" s="38" t="s">
        <v>15</v>
      </c>
      <c r="E11" s="46">
        <v>50</v>
      </c>
      <c r="F11" s="40">
        <f t="shared" si="0"/>
        <v>0</v>
      </c>
      <c r="G11" s="77">
        <v>20</v>
      </c>
      <c r="H11" s="40">
        <f t="shared" si="1"/>
        <v>0</v>
      </c>
      <c r="I11" s="46"/>
      <c r="J11" s="40">
        <f t="shared" si="2"/>
        <v>0</v>
      </c>
    </row>
    <row r="12" spans="1:10" ht="21" customHeight="1">
      <c r="A12" s="128"/>
      <c r="B12" s="38" t="s">
        <v>157</v>
      </c>
      <c r="C12" s="38"/>
      <c r="D12" s="38" t="s">
        <v>68</v>
      </c>
      <c r="E12" s="46">
        <v>45</v>
      </c>
      <c r="F12" s="40">
        <f t="shared" si="0"/>
        <v>0</v>
      </c>
      <c r="G12" s="77">
        <v>80</v>
      </c>
      <c r="H12" s="40">
        <f t="shared" si="1"/>
        <v>0</v>
      </c>
      <c r="I12" s="46"/>
      <c r="J12" s="40">
        <f t="shared" si="2"/>
        <v>0</v>
      </c>
    </row>
    <row r="13" spans="1:10" ht="21" customHeight="1">
      <c r="A13" s="128"/>
      <c r="B13" s="100" t="s">
        <v>636</v>
      </c>
      <c r="C13" s="38"/>
      <c r="D13" s="38" t="s">
        <v>14</v>
      </c>
      <c r="E13" s="46">
        <v>6</v>
      </c>
      <c r="F13" s="40">
        <f t="shared" si="0"/>
        <v>0</v>
      </c>
      <c r="G13" s="77">
        <v>2</v>
      </c>
      <c r="H13" s="40">
        <f t="shared" si="1"/>
        <v>0</v>
      </c>
      <c r="I13" s="46">
        <v>1</v>
      </c>
      <c r="J13" s="40">
        <f t="shared" si="2"/>
        <v>0</v>
      </c>
    </row>
    <row r="14" spans="1:10" ht="21" customHeight="1">
      <c r="A14" s="128"/>
      <c r="B14" s="38" t="s">
        <v>155</v>
      </c>
      <c r="C14" s="38"/>
      <c r="D14" s="38" t="s">
        <v>16</v>
      </c>
      <c r="E14" s="46">
        <v>6</v>
      </c>
      <c r="F14" s="40">
        <f t="shared" si="0"/>
        <v>0</v>
      </c>
      <c r="G14" s="77">
        <v>3</v>
      </c>
      <c r="H14" s="40">
        <f t="shared" si="1"/>
        <v>0</v>
      </c>
      <c r="I14" s="46"/>
      <c r="J14" s="40">
        <f t="shared" si="2"/>
        <v>0</v>
      </c>
    </row>
    <row r="15" spans="1:10" ht="21" customHeight="1">
      <c r="A15" s="128"/>
      <c r="B15" s="100" t="s">
        <v>637</v>
      </c>
      <c r="C15" s="38"/>
      <c r="D15" s="38" t="s">
        <v>68</v>
      </c>
      <c r="E15" s="46">
        <v>45</v>
      </c>
      <c r="F15" s="40">
        <f t="shared" si="0"/>
        <v>0</v>
      </c>
      <c r="G15" s="77">
        <v>84</v>
      </c>
      <c r="H15" s="40">
        <f t="shared" si="1"/>
        <v>0</v>
      </c>
      <c r="I15" s="46">
        <v>15</v>
      </c>
      <c r="J15" s="40">
        <f t="shared" si="2"/>
        <v>0</v>
      </c>
    </row>
    <row r="16" spans="1:10" ht="21" customHeight="1">
      <c r="A16" s="128"/>
      <c r="B16" s="38" t="s">
        <v>297</v>
      </c>
      <c r="C16" s="38"/>
      <c r="D16" s="38" t="s">
        <v>14</v>
      </c>
      <c r="E16" s="46">
        <v>5</v>
      </c>
      <c r="F16" s="40">
        <f t="shared" si="0"/>
        <v>0</v>
      </c>
      <c r="G16" s="77">
        <v>2</v>
      </c>
      <c r="H16" s="40">
        <f t="shared" si="1"/>
        <v>0</v>
      </c>
      <c r="I16" s="46">
        <v>2</v>
      </c>
      <c r="J16" s="40">
        <f t="shared" si="2"/>
        <v>0</v>
      </c>
    </row>
    <row r="17" spans="1:10" ht="21" customHeight="1">
      <c r="A17" s="128"/>
      <c r="B17" s="38" t="s">
        <v>259</v>
      </c>
      <c r="C17" s="38"/>
      <c r="D17" s="38" t="s">
        <v>68</v>
      </c>
      <c r="E17" s="46">
        <v>50</v>
      </c>
      <c r="F17" s="40">
        <f t="shared" si="0"/>
        <v>0</v>
      </c>
      <c r="G17" s="77">
        <v>74</v>
      </c>
      <c r="H17" s="40">
        <f t="shared" si="1"/>
        <v>0</v>
      </c>
      <c r="I17" s="46">
        <v>15</v>
      </c>
      <c r="J17" s="40">
        <f t="shared" si="2"/>
        <v>0</v>
      </c>
    </row>
    <row r="18" spans="1:10" ht="21" customHeight="1">
      <c r="A18" s="128"/>
      <c r="B18" s="38" t="s">
        <v>287</v>
      </c>
      <c r="C18" s="38"/>
      <c r="D18" s="38" t="s">
        <v>15</v>
      </c>
      <c r="E18" s="46">
        <v>35</v>
      </c>
      <c r="F18" s="40">
        <f t="shared" si="0"/>
        <v>0</v>
      </c>
      <c r="G18" s="77">
        <v>20</v>
      </c>
      <c r="H18" s="40">
        <f t="shared" si="1"/>
        <v>0</v>
      </c>
      <c r="I18" s="46"/>
      <c r="J18" s="40">
        <f t="shared" si="2"/>
        <v>0</v>
      </c>
    </row>
    <row r="19" spans="1:10" ht="21" customHeight="1">
      <c r="A19" s="128"/>
      <c r="B19" s="38" t="s">
        <v>298</v>
      </c>
      <c r="C19" s="38"/>
      <c r="D19" s="38" t="s">
        <v>14</v>
      </c>
      <c r="E19" s="46">
        <v>5</v>
      </c>
      <c r="F19" s="40">
        <f>C19*E19</f>
        <v>0</v>
      </c>
      <c r="G19" s="77">
        <v>2</v>
      </c>
      <c r="H19" s="40">
        <f>C19*G19</f>
        <v>0</v>
      </c>
      <c r="I19" s="46">
        <v>2</v>
      </c>
      <c r="J19" s="40">
        <f>C19*I19</f>
        <v>0</v>
      </c>
    </row>
    <row r="20" spans="1:10" ht="21" customHeight="1">
      <c r="A20" s="128"/>
      <c r="B20" s="38" t="s">
        <v>158</v>
      </c>
      <c r="C20" s="38"/>
      <c r="D20" s="38" t="s">
        <v>68</v>
      </c>
      <c r="E20" s="46">
        <v>70</v>
      </c>
      <c r="F20" s="40">
        <f t="shared" si="0"/>
        <v>0</v>
      </c>
      <c r="G20" s="77">
        <v>84</v>
      </c>
      <c r="H20" s="40">
        <f t="shared" si="1"/>
        <v>0</v>
      </c>
      <c r="I20" s="46"/>
      <c r="J20" s="40">
        <f t="shared" si="2"/>
        <v>0</v>
      </c>
    </row>
    <row r="21" spans="1:10" ht="21" customHeight="1">
      <c r="A21" s="128"/>
      <c r="B21" s="38" t="s">
        <v>101</v>
      </c>
      <c r="C21" s="38"/>
      <c r="D21" s="38" t="s">
        <v>15</v>
      </c>
      <c r="E21" s="46">
        <v>45</v>
      </c>
      <c r="F21" s="40">
        <f t="shared" si="0"/>
        <v>0</v>
      </c>
      <c r="G21" s="77">
        <v>10</v>
      </c>
      <c r="H21" s="40">
        <f t="shared" si="1"/>
        <v>0</v>
      </c>
      <c r="I21" s="46"/>
      <c r="J21" s="40">
        <f t="shared" si="2"/>
        <v>0</v>
      </c>
    </row>
    <row r="22" spans="1:10" ht="21" customHeight="1">
      <c r="A22" s="128"/>
      <c r="B22" s="38" t="s">
        <v>294</v>
      </c>
      <c r="C22" s="38"/>
      <c r="D22" s="38" t="s">
        <v>15</v>
      </c>
      <c r="E22" s="46">
        <v>45</v>
      </c>
      <c r="F22" s="40">
        <f t="shared" si="0"/>
        <v>0</v>
      </c>
      <c r="G22" s="77">
        <v>30</v>
      </c>
      <c r="H22" s="40">
        <f t="shared" si="1"/>
        <v>0</v>
      </c>
      <c r="I22" s="46"/>
      <c r="J22" s="40">
        <f t="shared" si="2"/>
        <v>0</v>
      </c>
    </row>
    <row r="23" spans="1:10" ht="21" customHeight="1">
      <c r="A23" s="128"/>
      <c r="B23" s="38" t="s">
        <v>260</v>
      </c>
      <c r="C23" s="38"/>
      <c r="D23" s="38" t="s">
        <v>14</v>
      </c>
      <c r="E23" s="46">
        <v>7</v>
      </c>
      <c r="F23" s="40">
        <f>C23*E23</f>
        <v>0</v>
      </c>
      <c r="G23" s="77">
        <v>4</v>
      </c>
      <c r="H23" s="40">
        <f>C23*G23</f>
        <v>0</v>
      </c>
      <c r="I23" s="46">
        <v>2</v>
      </c>
      <c r="J23" s="40">
        <f>C23*I23</f>
        <v>0</v>
      </c>
    </row>
    <row r="24" spans="1:10" ht="21" customHeight="1">
      <c r="A24" s="128"/>
      <c r="B24" s="38" t="s">
        <v>261</v>
      </c>
      <c r="C24" s="38"/>
      <c r="D24" s="38" t="s">
        <v>68</v>
      </c>
      <c r="E24" s="46">
        <v>0</v>
      </c>
      <c r="F24" s="40" t="s">
        <v>378</v>
      </c>
      <c r="G24" s="77">
        <v>90</v>
      </c>
      <c r="H24" s="40">
        <f>C24*G24</f>
        <v>0</v>
      </c>
      <c r="I24" s="46"/>
      <c r="J24" s="40">
        <f>C24*I24</f>
        <v>0</v>
      </c>
    </row>
    <row r="25" spans="1:10" ht="21" customHeight="1">
      <c r="A25" s="128"/>
      <c r="B25" s="38" t="s">
        <v>262</v>
      </c>
      <c r="C25" s="38"/>
      <c r="D25" s="38" t="s">
        <v>14</v>
      </c>
      <c r="E25" s="46">
        <v>7</v>
      </c>
      <c r="F25" s="40">
        <f>C25*E25</f>
        <v>0</v>
      </c>
      <c r="G25" s="77">
        <v>4</v>
      </c>
      <c r="H25" s="40">
        <f>C25*G25</f>
        <v>0</v>
      </c>
      <c r="I25" s="46">
        <v>2</v>
      </c>
      <c r="J25" s="40">
        <f>C25*I25</f>
        <v>0</v>
      </c>
    </row>
    <row r="26" spans="1:10" ht="21" customHeight="1">
      <c r="A26" s="128"/>
      <c r="B26" s="38" t="s">
        <v>263</v>
      </c>
      <c r="C26" s="38"/>
      <c r="D26" s="38" t="s">
        <v>68</v>
      </c>
      <c r="E26" s="46">
        <v>45</v>
      </c>
      <c r="F26" s="40">
        <f>C26*E26</f>
        <v>0</v>
      </c>
      <c r="G26" s="77">
        <v>84</v>
      </c>
      <c r="H26" s="40">
        <f>C26*G26</f>
        <v>0</v>
      </c>
      <c r="I26" s="46"/>
      <c r="J26" s="40">
        <f>C26*I26</f>
        <v>0</v>
      </c>
    </row>
    <row r="27" spans="1:10" ht="21" customHeight="1">
      <c r="A27" s="128"/>
      <c r="B27" s="38" t="s">
        <v>290</v>
      </c>
      <c r="C27" s="38"/>
      <c r="D27" s="38" t="s">
        <v>16</v>
      </c>
      <c r="E27" s="46">
        <v>8</v>
      </c>
      <c r="F27" s="40">
        <f t="shared" si="0"/>
        <v>0</v>
      </c>
      <c r="G27" s="77">
        <v>2</v>
      </c>
      <c r="H27" s="40">
        <f t="shared" si="1"/>
        <v>0</v>
      </c>
      <c r="I27" s="46"/>
      <c r="J27" s="40">
        <f t="shared" si="2"/>
        <v>0</v>
      </c>
    </row>
    <row r="28" spans="1:10" ht="21" customHeight="1">
      <c r="A28" s="128"/>
      <c r="B28" s="38" t="s">
        <v>264</v>
      </c>
      <c r="C28" s="38"/>
      <c r="D28" s="38" t="s">
        <v>14</v>
      </c>
      <c r="E28" s="46">
        <v>7</v>
      </c>
      <c r="F28" s="40">
        <f t="shared" si="0"/>
        <v>0</v>
      </c>
      <c r="G28" s="77">
        <v>4</v>
      </c>
      <c r="H28" s="40">
        <f t="shared" si="1"/>
        <v>0</v>
      </c>
      <c r="I28" s="46">
        <v>2</v>
      </c>
      <c r="J28" s="40">
        <f t="shared" si="2"/>
        <v>0</v>
      </c>
    </row>
    <row r="29" spans="1:10" ht="21" customHeight="1">
      <c r="A29" s="128"/>
      <c r="B29" s="38" t="s">
        <v>291</v>
      </c>
      <c r="C29" s="38"/>
      <c r="D29" s="38" t="s">
        <v>68</v>
      </c>
      <c r="E29" s="46">
        <v>70</v>
      </c>
      <c r="F29" s="40">
        <f>C29*E29</f>
        <v>0</v>
      </c>
      <c r="G29" s="77">
        <v>90</v>
      </c>
      <c r="H29" s="40">
        <f>C29*G29</f>
        <v>0</v>
      </c>
      <c r="I29" s="46"/>
      <c r="J29" s="40">
        <f>C29*I29</f>
        <v>0</v>
      </c>
    </row>
    <row r="30" spans="1:10" ht="21" customHeight="1">
      <c r="A30" s="128"/>
      <c r="B30" s="38" t="s">
        <v>292</v>
      </c>
      <c r="C30" s="38"/>
      <c r="D30" s="38" t="s">
        <v>16</v>
      </c>
      <c r="E30" s="46">
        <v>5</v>
      </c>
      <c r="F30" s="40">
        <f>C30*E30</f>
        <v>0</v>
      </c>
      <c r="G30" s="77">
        <v>0.75</v>
      </c>
      <c r="H30" s="40">
        <f>C30*G30</f>
        <v>0</v>
      </c>
      <c r="I30" s="46">
        <v>0.5</v>
      </c>
      <c r="J30" s="40">
        <f>C30*I30</f>
        <v>0</v>
      </c>
    </row>
    <row r="31" spans="1:10" ht="21" customHeight="1">
      <c r="A31" s="128"/>
      <c r="B31" s="38" t="s">
        <v>73</v>
      </c>
      <c r="C31" s="38"/>
      <c r="D31" s="38" t="s">
        <v>16</v>
      </c>
      <c r="E31" s="46">
        <v>1</v>
      </c>
      <c r="F31" s="40">
        <f t="shared" si="0"/>
        <v>0</v>
      </c>
      <c r="G31" s="77">
        <v>0.55</v>
      </c>
      <c r="H31" s="40">
        <f t="shared" si="1"/>
        <v>0</v>
      </c>
      <c r="I31" s="46"/>
      <c r="J31" s="40">
        <f t="shared" si="2"/>
        <v>0</v>
      </c>
    </row>
    <row r="32" spans="1:10" ht="21" customHeight="1">
      <c r="A32" s="128"/>
      <c r="B32" s="38" t="s">
        <v>167</v>
      </c>
      <c r="C32" s="38"/>
      <c r="D32" s="38" t="s">
        <v>68</v>
      </c>
      <c r="E32" s="46">
        <v>0</v>
      </c>
      <c r="F32" s="40" t="s">
        <v>74</v>
      </c>
      <c r="G32" s="77">
        <v>86</v>
      </c>
      <c r="H32" s="40">
        <f t="shared" si="1"/>
        <v>0</v>
      </c>
      <c r="I32" s="46"/>
      <c r="J32" s="40">
        <f t="shared" si="2"/>
        <v>0</v>
      </c>
    </row>
    <row r="33" spans="1:10" ht="21" customHeight="1">
      <c r="A33" s="128"/>
      <c r="B33" s="38" t="s">
        <v>156</v>
      </c>
      <c r="C33" s="38"/>
      <c r="D33" s="38" t="s">
        <v>16</v>
      </c>
      <c r="E33" s="46">
        <v>5</v>
      </c>
      <c r="F33" s="40">
        <f t="shared" si="0"/>
        <v>0</v>
      </c>
      <c r="G33" s="77">
        <v>1</v>
      </c>
      <c r="H33" s="40">
        <f>C33*G33</f>
        <v>0</v>
      </c>
      <c r="I33" s="46"/>
      <c r="J33" s="40">
        <f t="shared" si="2"/>
        <v>0</v>
      </c>
    </row>
    <row r="34" spans="1:10" ht="21" customHeight="1">
      <c r="A34" s="128"/>
      <c r="B34" s="38" t="s">
        <v>166</v>
      </c>
      <c r="C34" s="38"/>
      <c r="D34" s="38" t="s">
        <v>15</v>
      </c>
      <c r="E34" s="46"/>
      <c r="F34" s="40" t="s">
        <v>74</v>
      </c>
      <c r="G34" s="77"/>
      <c r="H34" s="40" t="s">
        <v>162</v>
      </c>
      <c r="I34" s="46"/>
      <c r="J34" s="40">
        <f t="shared" si="2"/>
        <v>0</v>
      </c>
    </row>
    <row r="35" spans="1:10" ht="21" customHeight="1">
      <c r="A35" s="128"/>
      <c r="B35" s="38" t="s">
        <v>165</v>
      </c>
      <c r="C35" s="38"/>
      <c r="D35" s="38" t="s">
        <v>68</v>
      </c>
      <c r="E35" s="46">
        <v>0</v>
      </c>
      <c r="F35" s="40" t="s">
        <v>74</v>
      </c>
      <c r="G35" s="77">
        <v>90</v>
      </c>
      <c r="H35" s="40">
        <f>C35*G35</f>
        <v>0</v>
      </c>
      <c r="I35" s="46"/>
      <c r="J35" s="40">
        <f t="shared" si="2"/>
        <v>0</v>
      </c>
    </row>
    <row r="36" spans="1:10" ht="21" customHeight="1">
      <c r="A36" s="128"/>
      <c r="B36" s="38" t="s">
        <v>114</v>
      </c>
      <c r="C36" s="38"/>
      <c r="D36" s="38" t="s">
        <v>68</v>
      </c>
      <c r="E36" s="46">
        <v>0</v>
      </c>
      <c r="F36" s="40" t="s">
        <v>74</v>
      </c>
      <c r="G36" s="77">
        <v>100</v>
      </c>
      <c r="H36" s="40">
        <f>C36*G36</f>
        <v>0</v>
      </c>
      <c r="I36" s="46"/>
      <c r="J36" s="40">
        <f t="shared" si="2"/>
        <v>0</v>
      </c>
    </row>
    <row r="37" spans="1:10" ht="21" customHeight="1">
      <c r="A37" s="128"/>
      <c r="B37" s="38" t="s">
        <v>288</v>
      </c>
      <c r="C37" s="38"/>
      <c r="D37" s="38" t="s">
        <v>16</v>
      </c>
      <c r="E37" s="46">
        <v>4</v>
      </c>
      <c r="F37" s="40">
        <f t="shared" si="0"/>
        <v>0</v>
      </c>
      <c r="G37" s="77">
        <v>1</v>
      </c>
      <c r="H37" s="40">
        <f>C37*G37</f>
        <v>0</v>
      </c>
      <c r="I37" s="46"/>
      <c r="J37" s="40">
        <f t="shared" si="2"/>
        <v>0</v>
      </c>
    </row>
    <row r="38" spans="1:10" ht="21" customHeight="1">
      <c r="A38" s="128"/>
      <c r="B38" s="38" t="s">
        <v>289</v>
      </c>
      <c r="C38" s="38"/>
      <c r="D38" s="38" t="s">
        <v>68</v>
      </c>
      <c r="E38" s="46">
        <v>100</v>
      </c>
      <c r="F38" s="40">
        <f>C38*E38</f>
        <v>0</v>
      </c>
      <c r="G38" s="77">
        <v>110</v>
      </c>
      <c r="H38" s="40">
        <f>C38*G38</f>
        <v>0</v>
      </c>
      <c r="I38" s="46"/>
      <c r="J38" s="40">
        <f>C38*I38</f>
        <v>0</v>
      </c>
    </row>
    <row r="39" spans="1:10" ht="21" customHeight="1" thickBot="1">
      <c r="A39" s="128"/>
      <c r="B39" s="38" t="s">
        <v>295</v>
      </c>
      <c r="C39" s="38"/>
      <c r="D39" s="38" t="s">
        <v>15</v>
      </c>
      <c r="E39" s="160">
        <v>90</v>
      </c>
      <c r="F39" s="178">
        <f>C39*E39</f>
        <v>0</v>
      </c>
      <c r="G39" s="161">
        <v>90</v>
      </c>
      <c r="H39" s="178">
        <f>C39*G39</f>
        <v>0</v>
      </c>
      <c r="I39" s="160"/>
      <c r="J39" s="178">
        <f>C39*I39</f>
        <v>0</v>
      </c>
    </row>
    <row r="40" spans="1:10" ht="21" customHeight="1" thickTop="1">
      <c r="A40" s="128"/>
      <c r="B40" s="38"/>
      <c r="C40" s="38"/>
      <c r="D40" s="38"/>
      <c r="E40" s="176"/>
      <c r="F40" s="177">
        <f>SUM(F9:F39)</f>
        <v>240</v>
      </c>
      <c r="G40" s="158"/>
      <c r="H40" s="177">
        <f>SUM(H9:H39)</f>
        <v>500</v>
      </c>
      <c r="I40" s="176"/>
      <c r="J40" s="177">
        <f>SUM(J9:J39)</f>
        <v>0</v>
      </c>
    </row>
    <row r="41" spans="1:10" ht="21" customHeight="1">
      <c r="A41" s="128"/>
      <c r="B41" s="38"/>
      <c r="C41" s="38"/>
      <c r="D41" s="38"/>
      <c r="E41" s="46"/>
      <c r="F41" s="40"/>
      <c r="G41" s="77"/>
      <c r="H41" s="40"/>
      <c r="I41" s="46"/>
      <c r="J41" s="40"/>
    </row>
    <row r="42" spans="1:10" ht="21" customHeight="1">
      <c r="A42" s="128"/>
      <c r="B42" s="249" t="s">
        <v>100</v>
      </c>
      <c r="C42" s="38"/>
      <c r="D42" s="38"/>
      <c r="E42" s="46"/>
      <c r="F42" s="40"/>
      <c r="G42" s="77"/>
      <c r="H42" s="40"/>
      <c r="I42" s="46"/>
      <c r="J42" s="40"/>
    </row>
    <row r="43" spans="1:10" ht="21" customHeight="1">
      <c r="A43" s="128"/>
      <c r="B43" s="250" t="s">
        <v>379</v>
      </c>
      <c r="C43" s="38"/>
      <c r="D43" s="38" t="s">
        <v>16</v>
      </c>
      <c r="E43" s="46">
        <v>3.25</v>
      </c>
      <c r="F43" s="40">
        <f>C43*E43</f>
        <v>0</v>
      </c>
      <c r="G43" s="77">
        <v>2</v>
      </c>
      <c r="H43" s="40">
        <f aca="true" t="shared" si="3" ref="H43:H55">C43*G43</f>
        <v>0</v>
      </c>
      <c r="I43" s="46"/>
      <c r="J43" s="40">
        <f aca="true" t="shared" si="4" ref="J43:J55">C43*I43</f>
        <v>0</v>
      </c>
    </row>
    <row r="44" spans="1:10" ht="21" customHeight="1">
      <c r="A44" s="128"/>
      <c r="B44" s="250" t="s">
        <v>379</v>
      </c>
      <c r="C44" s="38"/>
      <c r="D44" s="38" t="s">
        <v>16</v>
      </c>
      <c r="E44" s="46">
        <v>3.25</v>
      </c>
      <c r="F44" s="40">
        <f>C44*E44</f>
        <v>0</v>
      </c>
      <c r="G44" s="77">
        <v>2</v>
      </c>
      <c r="H44" s="40">
        <f t="shared" si="3"/>
        <v>0</v>
      </c>
      <c r="I44" s="46"/>
      <c r="J44" s="40">
        <f t="shared" si="4"/>
        <v>0</v>
      </c>
    </row>
    <row r="45" spans="1:10" ht="21" customHeight="1">
      <c r="A45" s="128"/>
      <c r="B45" s="250" t="s">
        <v>256</v>
      </c>
      <c r="C45" s="38"/>
      <c r="D45" s="38" t="s">
        <v>68</v>
      </c>
      <c r="E45" s="46">
        <v>0</v>
      </c>
      <c r="F45" s="40" t="s">
        <v>74</v>
      </c>
      <c r="G45" s="77">
        <v>82</v>
      </c>
      <c r="H45" s="40">
        <f t="shared" si="3"/>
        <v>0</v>
      </c>
      <c r="I45" s="46"/>
      <c r="J45" s="40">
        <f t="shared" si="4"/>
        <v>0</v>
      </c>
    </row>
    <row r="46" spans="1:10" ht="21" customHeight="1">
      <c r="A46" s="128"/>
      <c r="B46" s="100" t="s">
        <v>580</v>
      </c>
      <c r="C46" s="38"/>
      <c r="D46" s="38" t="s">
        <v>16</v>
      </c>
      <c r="E46" s="46">
        <v>6</v>
      </c>
      <c r="F46" s="40">
        <f aca="true" t="shared" si="5" ref="F46:F51">C46*E46</f>
        <v>0</v>
      </c>
      <c r="G46" s="77">
        <v>3</v>
      </c>
      <c r="H46" s="40">
        <f>C46*G46</f>
        <v>0</v>
      </c>
      <c r="I46" s="46">
        <v>0.5</v>
      </c>
      <c r="J46" s="40">
        <f>C46*I46</f>
        <v>0</v>
      </c>
    </row>
    <row r="47" spans="1:10" ht="21" customHeight="1">
      <c r="A47" s="128"/>
      <c r="B47" s="38" t="s">
        <v>296</v>
      </c>
      <c r="C47" s="38"/>
      <c r="D47" s="38" t="s">
        <v>14</v>
      </c>
      <c r="E47" s="46">
        <v>6</v>
      </c>
      <c r="F47" s="40">
        <f t="shared" si="5"/>
        <v>0</v>
      </c>
      <c r="G47" s="77">
        <v>2</v>
      </c>
      <c r="H47" s="40">
        <f>C47*G47</f>
        <v>0</v>
      </c>
      <c r="I47" s="46">
        <v>1</v>
      </c>
      <c r="J47" s="40">
        <f>C47*I47</f>
        <v>0</v>
      </c>
    </row>
    <row r="48" spans="1:10" ht="21" customHeight="1">
      <c r="A48" s="128"/>
      <c r="B48" s="100" t="s">
        <v>581</v>
      </c>
      <c r="C48" s="38"/>
      <c r="D48" s="38" t="s">
        <v>68</v>
      </c>
      <c r="E48" s="46">
        <v>45</v>
      </c>
      <c r="F48" s="40">
        <f t="shared" si="5"/>
        <v>0</v>
      </c>
      <c r="G48" s="77">
        <v>82</v>
      </c>
      <c r="H48" s="40">
        <f t="shared" si="3"/>
        <v>0</v>
      </c>
      <c r="I48" s="46">
        <v>15</v>
      </c>
      <c r="J48" s="40">
        <f t="shared" si="4"/>
        <v>0</v>
      </c>
    </row>
    <row r="49" spans="1:10" ht="21" customHeight="1">
      <c r="A49" s="128"/>
      <c r="B49" s="100" t="s">
        <v>228</v>
      </c>
      <c r="C49" s="38"/>
      <c r="D49" s="38" t="s">
        <v>16</v>
      </c>
      <c r="E49" s="46">
        <v>0.75</v>
      </c>
      <c r="F49" s="40">
        <f t="shared" si="5"/>
        <v>0</v>
      </c>
      <c r="G49" s="77">
        <v>0.55</v>
      </c>
      <c r="H49" s="40">
        <f t="shared" si="3"/>
        <v>0</v>
      </c>
      <c r="I49" s="46"/>
      <c r="J49" s="40">
        <f t="shared" si="4"/>
        <v>0</v>
      </c>
    </row>
    <row r="50" spans="1:10" ht="21" customHeight="1">
      <c r="A50" s="128"/>
      <c r="B50" s="38" t="s">
        <v>384</v>
      </c>
      <c r="C50" s="38"/>
      <c r="D50" s="38" t="s">
        <v>15</v>
      </c>
      <c r="E50" s="46">
        <v>210</v>
      </c>
      <c r="F50" s="40">
        <f t="shared" si="5"/>
        <v>0</v>
      </c>
      <c r="G50" s="77">
        <v>175</v>
      </c>
      <c r="H50" s="40">
        <f t="shared" si="3"/>
        <v>0</v>
      </c>
      <c r="I50" s="46"/>
      <c r="J50" s="40">
        <f t="shared" si="4"/>
        <v>0</v>
      </c>
    </row>
    <row r="51" spans="1:10" ht="21" customHeight="1">
      <c r="A51" s="128"/>
      <c r="B51" s="100" t="s">
        <v>560</v>
      </c>
      <c r="C51" s="38"/>
      <c r="D51" s="38" t="s">
        <v>16</v>
      </c>
      <c r="E51" s="46">
        <v>2</v>
      </c>
      <c r="F51" s="40">
        <f t="shared" si="5"/>
        <v>0</v>
      </c>
      <c r="G51" s="77">
        <v>4</v>
      </c>
      <c r="H51" s="40">
        <f t="shared" si="3"/>
        <v>0</v>
      </c>
      <c r="I51" s="46"/>
      <c r="J51" s="40">
        <f t="shared" si="4"/>
        <v>0</v>
      </c>
    </row>
    <row r="52" spans="1:10" ht="21" customHeight="1">
      <c r="A52" s="128"/>
      <c r="B52" s="38" t="s">
        <v>385</v>
      </c>
      <c r="C52" s="38"/>
      <c r="D52" s="38" t="s">
        <v>68</v>
      </c>
      <c r="E52" s="46">
        <v>0</v>
      </c>
      <c r="F52" s="40" t="s">
        <v>74</v>
      </c>
      <c r="G52" s="77">
        <v>82</v>
      </c>
      <c r="H52" s="40">
        <f t="shared" si="3"/>
        <v>0</v>
      </c>
      <c r="I52" s="46"/>
      <c r="J52" s="40">
        <f t="shared" si="4"/>
        <v>0</v>
      </c>
    </row>
    <row r="53" spans="1:10" ht="21" customHeight="1">
      <c r="A53" s="128"/>
      <c r="B53" s="38" t="s">
        <v>380</v>
      </c>
      <c r="C53" s="38"/>
      <c r="D53" s="38" t="s">
        <v>16</v>
      </c>
      <c r="E53" s="46">
        <v>4</v>
      </c>
      <c r="F53" s="40">
        <f>C53*E53</f>
        <v>0</v>
      </c>
      <c r="G53" s="77">
        <v>2</v>
      </c>
      <c r="H53" s="40">
        <f t="shared" si="3"/>
        <v>0</v>
      </c>
      <c r="I53" s="46"/>
      <c r="J53" s="40">
        <f t="shared" si="4"/>
        <v>0</v>
      </c>
    </row>
    <row r="54" spans="1:10" ht="21" customHeight="1">
      <c r="A54" s="128"/>
      <c r="B54" s="100" t="s">
        <v>579</v>
      </c>
      <c r="C54" s="38"/>
      <c r="D54" s="38" t="s">
        <v>16</v>
      </c>
      <c r="E54" s="46">
        <v>2</v>
      </c>
      <c r="F54" s="40">
        <f>C54*E54</f>
        <v>0</v>
      </c>
      <c r="G54" s="77">
        <v>4</v>
      </c>
      <c r="H54" s="40">
        <f>C54*G54</f>
        <v>0</v>
      </c>
      <c r="I54" s="46"/>
      <c r="J54" s="40">
        <f>C54*I54</f>
        <v>0</v>
      </c>
    </row>
    <row r="55" spans="1:10" ht="21" customHeight="1" thickBot="1">
      <c r="A55" s="128"/>
      <c r="B55" s="38" t="s">
        <v>71</v>
      </c>
      <c r="C55" s="38"/>
      <c r="D55" s="38" t="s">
        <v>68</v>
      </c>
      <c r="E55" s="46">
        <v>0</v>
      </c>
      <c r="F55" s="40" t="s">
        <v>74</v>
      </c>
      <c r="G55" s="77">
        <v>82</v>
      </c>
      <c r="H55" s="40">
        <f t="shared" si="3"/>
        <v>0</v>
      </c>
      <c r="I55" s="46"/>
      <c r="J55" s="40">
        <f t="shared" si="4"/>
        <v>0</v>
      </c>
    </row>
    <row r="56" spans="1:10" ht="21" customHeight="1" thickTop="1">
      <c r="A56" s="128"/>
      <c r="B56" s="38"/>
      <c r="C56" s="38"/>
      <c r="D56" s="38"/>
      <c r="E56" s="90"/>
      <c r="F56" s="104">
        <f>SUM(F43:F55)</f>
        <v>0</v>
      </c>
      <c r="G56" s="90"/>
      <c r="H56" s="104">
        <f>SUM(H43:H55)</f>
        <v>0</v>
      </c>
      <c r="I56" s="90"/>
      <c r="J56" s="104">
        <f>SUM(J43:J55)</f>
        <v>0</v>
      </c>
    </row>
    <row r="57" spans="1:10" ht="21" customHeight="1">
      <c r="A57" s="38"/>
      <c r="B57" s="231" t="s">
        <v>461</v>
      </c>
      <c r="C57" s="233"/>
      <c r="D57" s="38"/>
      <c r="E57" s="46"/>
      <c r="F57" s="40"/>
      <c r="G57" s="46"/>
      <c r="H57" s="40"/>
      <c r="I57" s="46"/>
      <c r="J57" s="40"/>
    </row>
    <row r="58" spans="1:10" ht="21" customHeight="1">
      <c r="A58" s="38"/>
      <c r="B58" s="71"/>
      <c r="C58" s="54"/>
      <c r="D58" s="38"/>
      <c r="E58" s="46"/>
      <c r="F58" s="40"/>
      <c r="G58" s="46"/>
      <c r="H58" s="40"/>
      <c r="I58" s="46"/>
      <c r="J58" s="40"/>
    </row>
    <row r="59" spans="1:10" ht="21" customHeight="1">
      <c r="A59" s="38"/>
      <c r="B59" s="71"/>
      <c r="C59" s="66"/>
      <c r="D59" s="38"/>
      <c r="E59" s="46"/>
      <c r="F59" s="40"/>
      <c r="G59" s="46"/>
      <c r="H59" s="40"/>
      <c r="I59" s="46"/>
      <c r="J59" s="40"/>
    </row>
    <row r="60" spans="1:10" ht="21" customHeight="1">
      <c r="A60" s="38"/>
      <c r="B60" s="113" t="s">
        <v>106</v>
      </c>
      <c r="C60" s="38">
        <f>+C10+C12</f>
        <v>4</v>
      </c>
      <c r="D60" s="38" t="s">
        <v>68</v>
      </c>
      <c r="E60" s="46"/>
      <c r="F60" s="40"/>
      <c r="G60" s="46"/>
      <c r="H60" s="40"/>
      <c r="I60" s="46"/>
      <c r="J60" s="40"/>
    </row>
    <row r="61" spans="1:10" ht="21" customHeight="1">
      <c r="A61" s="38"/>
      <c r="B61" s="113" t="s">
        <v>160</v>
      </c>
      <c r="C61" s="38">
        <f>C15+C17+C20</f>
        <v>0</v>
      </c>
      <c r="D61" s="38" t="s">
        <v>68</v>
      </c>
      <c r="E61" s="46"/>
      <c r="F61" s="40"/>
      <c r="G61" s="46"/>
      <c r="H61" s="40"/>
      <c r="I61" s="46"/>
      <c r="J61" s="40"/>
    </row>
    <row r="62" spans="1:10" ht="21" customHeight="1">
      <c r="A62" s="38"/>
      <c r="B62" s="113" t="s">
        <v>168</v>
      </c>
      <c r="C62" s="38">
        <f>C32</f>
        <v>0</v>
      </c>
      <c r="D62" s="38" t="s">
        <v>68</v>
      </c>
      <c r="E62" s="46"/>
      <c r="F62" s="40"/>
      <c r="G62" s="46"/>
      <c r="H62" s="40"/>
      <c r="I62" s="46"/>
      <c r="J62" s="40"/>
    </row>
    <row r="63" spans="1:10" ht="21" customHeight="1">
      <c r="A63" s="38"/>
      <c r="B63" s="113" t="s">
        <v>164</v>
      </c>
      <c r="C63" s="89">
        <f>C24</f>
        <v>0</v>
      </c>
      <c r="D63" s="38" t="s">
        <v>68</v>
      </c>
      <c r="E63" s="46"/>
      <c r="F63" s="40"/>
      <c r="G63" s="46"/>
      <c r="H63" s="40"/>
      <c r="I63" s="46"/>
      <c r="J63" s="40"/>
    </row>
    <row r="64" spans="1:10" ht="21" customHeight="1" thickBot="1">
      <c r="A64" s="38"/>
      <c r="B64" s="113" t="s">
        <v>163</v>
      </c>
      <c r="C64" s="89">
        <f>C51+C56</f>
        <v>0</v>
      </c>
      <c r="D64" s="38" t="s">
        <v>68</v>
      </c>
      <c r="E64" s="46"/>
      <c r="F64" s="40"/>
      <c r="G64" s="46"/>
      <c r="H64" s="40"/>
      <c r="I64" s="46"/>
      <c r="J64" s="40"/>
    </row>
    <row r="65" spans="1:10" ht="21" customHeight="1" thickTop="1">
      <c r="A65" s="38"/>
      <c r="B65" s="38"/>
      <c r="C65" s="129">
        <f>SUM(C60:C64)</f>
        <v>4</v>
      </c>
      <c r="D65" s="38" t="s">
        <v>68</v>
      </c>
      <c r="E65" s="46"/>
      <c r="F65" s="40"/>
      <c r="G65" s="46"/>
      <c r="H65" s="40"/>
      <c r="I65" s="46"/>
      <c r="J65" s="40"/>
    </row>
    <row r="66" spans="1:10" ht="21" customHeight="1">
      <c r="A66" s="89"/>
      <c r="B66" s="130"/>
      <c r="C66" s="66"/>
      <c r="D66" s="89"/>
      <c r="E66" s="102"/>
      <c r="F66" s="103"/>
      <c r="G66" s="102"/>
      <c r="H66" s="103"/>
      <c r="I66" s="102"/>
      <c r="J66" s="103"/>
    </row>
    <row r="67" spans="1:10" ht="21" customHeight="1">
      <c r="A67" s="89"/>
      <c r="B67" s="110" t="s">
        <v>65</v>
      </c>
      <c r="C67" s="38"/>
      <c r="D67" s="38"/>
      <c r="E67" s="46"/>
      <c r="F67" s="40"/>
      <c r="G67" s="46"/>
      <c r="H67" s="40"/>
      <c r="I67" s="46"/>
      <c r="J67" s="40"/>
    </row>
    <row r="68" spans="1:10" ht="21" customHeight="1">
      <c r="A68" s="89"/>
      <c r="B68" s="249" t="s">
        <v>388</v>
      </c>
      <c r="C68" s="38"/>
      <c r="D68" s="38"/>
      <c r="E68" s="46"/>
      <c r="F68" s="40"/>
      <c r="G68" s="46"/>
      <c r="H68" s="40"/>
      <c r="I68" s="46"/>
      <c r="J68" s="40"/>
    </row>
    <row r="69" spans="1:11" ht="21" customHeight="1">
      <c r="A69" s="89"/>
      <c r="B69" s="38" t="s">
        <v>265</v>
      </c>
      <c r="C69" s="38">
        <v>50</v>
      </c>
      <c r="D69" s="38" t="s">
        <v>16</v>
      </c>
      <c r="E69" s="46">
        <v>8</v>
      </c>
      <c r="F69" s="40">
        <f aca="true" t="shared" si="6" ref="F69:F83">C69*E69</f>
        <v>400</v>
      </c>
      <c r="G69" s="77"/>
      <c r="H69" s="40">
        <f aca="true" t="shared" si="7" ref="H69:H78">C69*G69</f>
        <v>0</v>
      </c>
      <c r="I69" s="46">
        <v>8</v>
      </c>
      <c r="J69" s="40">
        <f aca="true" t="shared" si="8" ref="J69:J83">C69*I69</f>
        <v>400</v>
      </c>
      <c r="K69" s="305">
        <f>F69+H69+J69</f>
        <v>800</v>
      </c>
    </row>
    <row r="70" spans="1:11" ht="21" customHeight="1">
      <c r="A70" s="89"/>
      <c r="B70" s="100" t="s">
        <v>878</v>
      </c>
      <c r="C70" s="38">
        <v>100</v>
      </c>
      <c r="D70" s="100" t="s">
        <v>16</v>
      </c>
      <c r="E70" s="46"/>
      <c r="F70" s="40">
        <f>C70*E70</f>
        <v>0</v>
      </c>
      <c r="G70" s="77"/>
      <c r="H70" s="40">
        <f>C70*G70</f>
        <v>0</v>
      </c>
      <c r="I70" s="46">
        <v>7</v>
      </c>
      <c r="J70" s="40">
        <f t="shared" si="8"/>
        <v>700</v>
      </c>
      <c r="K70" s="305">
        <f>F70+H70+J70</f>
        <v>700</v>
      </c>
    </row>
    <row r="71" spans="1:10" ht="21" customHeight="1">
      <c r="A71" s="89"/>
      <c r="B71" s="38" t="s">
        <v>150</v>
      </c>
      <c r="C71" s="38"/>
      <c r="D71" s="38" t="s">
        <v>15</v>
      </c>
      <c r="E71" s="46">
        <v>90</v>
      </c>
      <c r="F71" s="40">
        <f t="shared" si="6"/>
        <v>0</v>
      </c>
      <c r="G71" s="77"/>
      <c r="H71" s="40">
        <f t="shared" si="7"/>
        <v>0</v>
      </c>
      <c r="I71" s="46">
        <v>80</v>
      </c>
      <c r="J71" s="40">
        <f t="shared" si="8"/>
        <v>0</v>
      </c>
    </row>
    <row r="72" spans="1:10" ht="21" customHeight="1">
      <c r="A72" s="89"/>
      <c r="B72" s="38" t="s">
        <v>153</v>
      </c>
      <c r="C72" s="38"/>
      <c r="D72" s="38" t="s">
        <v>15</v>
      </c>
      <c r="E72" s="46">
        <v>150</v>
      </c>
      <c r="F72" s="40">
        <f t="shared" si="6"/>
        <v>0</v>
      </c>
      <c r="G72" s="77"/>
      <c r="H72" s="40">
        <f t="shared" si="7"/>
        <v>0</v>
      </c>
      <c r="I72" s="46">
        <v>125</v>
      </c>
      <c r="J72" s="40">
        <f t="shared" si="8"/>
        <v>0</v>
      </c>
    </row>
    <row r="73" spans="1:10" ht="21" customHeight="1">
      <c r="A73" s="89"/>
      <c r="B73" s="38" t="s">
        <v>151</v>
      </c>
      <c r="C73" s="38"/>
      <c r="D73" s="38" t="s">
        <v>15</v>
      </c>
      <c r="E73" s="46">
        <v>200</v>
      </c>
      <c r="F73" s="40">
        <f t="shared" si="6"/>
        <v>0</v>
      </c>
      <c r="G73" s="77"/>
      <c r="H73" s="40">
        <f t="shared" si="7"/>
        <v>0</v>
      </c>
      <c r="I73" s="46">
        <v>175</v>
      </c>
      <c r="J73" s="40">
        <f t="shared" si="8"/>
        <v>0</v>
      </c>
    </row>
    <row r="74" spans="1:10" ht="21" customHeight="1">
      <c r="A74" s="89"/>
      <c r="B74" s="38" t="s">
        <v>152</v>
      </c>
      <c r="C74" s="38"/>
      <c r="D74" s="38" t="s">
        <v>15</v>
      </c>
      <c r="E74" s="46">
        <v>80</v>
      </c>
      <c r="F74" s="40">
        <f t="shared" si="6"/>
        <v>0</v>
      </c>
      <c r="G74" s="77"/>
      <c r="H74" s="40">
        <f t="shared" si="7"/>
        <v>0</v>
      </c>
      <c r="I74" s="46">
        <v>70</v>
      </c>
      <c r="J74" s="40">
        <f t="shared" si="8"/>
        <v>0</v>
      </c>
    </row>
    <row r="75" spans="1:11" ht="21" customHeight="1">
      <c r="A75" s="89"/>
      <c r="B75" s="100" t="s">
        <v>620</v>
      </c>
      <c r="C75" s="38">
        <v>12</v>
      </c>
      <c r="D75" s="38" t="s">
        <v>68</v>
      </c>
      <c r="E75" s="46"/>
      <c r="F75" s="40">
        <f t="shared" si="6"/>
        <v>0</v>
      </c>
      <c r="G75" s="77"/>
      <c r="H75" s="40">
        <f t="shared" si="7"/>
        <v>0</v>
      </c>
      <c r="I75" s="46">
        <v>12</v>
      </c>
      <c r="J75" s="40">
        <f t="shared" si="8"/>
        <v>144</v>
      </c>
      <c r="K75" s="305">
        <f>F75+H75+J75</f>
        <v>144</v>
      </c>
    </row>
    <row r="76" spans="1:11" ht="21" customHeight="1">
      <c r="A76" s="89"/>
      <c r="B76" s="100" t="s">
        <v>639</v>
      </c>
      <c r="C76" s="38">
        <v>100</v>
      </c>
      <c r="D76" s="38" t="s">
        <v>16</v>
      </c>
      <c r="E76" s="46">
        <v>3</v>
      </c>
      <c r="F76" s="40">
        <f t="shared" si="6"/>
        <v>300</v>
      </c>
      <c r="G76" s="77"/>
      <c r="H76" s="40">
        <f t="shared" si="7"/>
        <v>0</v>
      </c>
      <c r="I76" s="46">
        <v>3</v>
      </c>
      <c r="J76" s="40">
        <f t="shared" si="8"/>
        <v>300</v>
      </c>
      <c r="K76" s="305">
        <f>F76+H76+J76</f>
        <v>600</v>
      </c>
    </row>
    <row r="77" spans="1:10" ht="21" customHeight="1">
      <c r="A77" s="89"/>
      <c r="B77" s="38" t="s">
        <v>97</v>
      </c>
      <c r="C77" s="38"/>
      <c r="D77" s="38" t="s">
        <v>15</v>
      </c>
      <c r="E77" s="46">
        <v>65</v>
      </c>
      <c r="F77" s="40">
        <f t="shared" si="6"/>
        <v>0</v>
      </c>
      <c r="G77" s="77"/>
      <c r="H77" s="40">
        <f t="shared" si="7"/>
        <v>0</v>
      </c>
      <c r="I77" s="46">
        <v>45</v>
      </c>
      <c r="J77" s="40">
        <f t="shared" si="8"/>
        <v>0</v>
      </c>
    </row>
    <row r="78" spans="1:10" ht="21" customHeight="1">
      <c r="A78" s="89"/>
      <c r="B78" s="38" t="s">
        <v>66</v>
      </c>
      <c r="C78" s="38"/>
      <c r="D78" s="38" t="s">
        <v>59</v>
      </c>
      <c r="E78" s="46">
        <v>0</v>
      </c>
      <c r="F78" s="40" t="s">
        <v>69</v>
      </c>
      <c r="G78" s="77">
        <v>17</v>
      </c>
      <c r="H78" s="40">
        <f t="shared" si="7"/>
        <v>0</v>
      </c>
      <c r="I78" s="46"/>
      <c r="J78" s="40">
        <f t="shared" si="8"/>
        <v>0</v>
      </c>
    </row>
    <row r="79" spans="1:10" ht="21" customHeight="1">
      <c r="A79" s="89"/>
      <c r="B79" s="38" t="s">
        <v>99</v>
      </c>
      <c r="C79" s="38"/>
      <c r="D79" s="38" t="s">
        <v>14</v>
      </c>
      <c r="E79" s="46">
        <v>0.75</v>
      </c>
      <c r="F79" s="40">
        <f t="shared" si="6"/>
        <v>0</v>
      </c>
      <c r="G79" s="77">
        <v>1.15</v>
      </c>
      <c r="H79" s="40">
        <f>C79*G79</f>
        <v>0</v>
      </c>
      <c r="I79" s="46"/>
      <c r="J79" s="40">
        <f t="shared" si="8"/>
        <v>0</v>
      </c>
    </row>
    <row r="80" spans="1:10" ht="21" customHeight="1">
      <c r="A80" s="89"/>
      <c r="B80" s="38" t="s">
        <v>98</v>
      </c>
      <c r="C80" s="38"/>
      <c r="D80" s="38" t="s">
        <v>14</v>
      </c>
      <c r="E80" s="46">
        <v>0.25</v>
      </c>
      <c r="F80" s="40">
        <f t="shared" si="6"/>
        <v>0</v>
      </c>
      <c r="G80" s="77">
        <v>0</v>
      </c>
      <c r="H80" s="40">
        <f>C80*G80</f>
        <v>0</v>
      </c>
      <c r="I80" s="46">
        <v>0.2</v>
      </c>
      <c r="J80" s="40">
        <f t="shared" si="8"/>
        <v>0</v>
      </c>
    </row>
    <row r="81" spans="1:10" ht="21" customHeight="1">
      <c r="A81" s="89"/>
      <c r="B81" s="38" t="s">
        <v>70</v>
      </c>
      <c r="C81" s="38"/>
      <c r="D81" s="38" t="s">
        <v>59</v>
      </c>
      <c r="E81" s="46">
        <v>0</v>
      </c>
      <c r="F81" s="40" t="s">
        <v>69</v>
      </c>
      <c r="G81" s="77">
        <v>17</v>
      </c>
      <c r="H81" s="40">
        <f>C81*G81</f>
        <v>0</v>
      </c>
      <c r="I81" s="46"/>
      <c r="J81" s="40">
        <f t="shared" si="8"/>
        <v>0</v>
      </c>
    </row>
    <row r="82" spans="1:10" ht="21" customHeight="1">
      <c r="A82" s="89"/>
      <c r="B82" s="38" t="s">
        <v>266</v>
      </c>
      <c r="C82" s="38"/>
      <c r="D82" s="38" t="s">
        <v>14</v>
      </c>
      <c r="E82" s="46">
        <v>0.09</v>
      </c>
      <c r="F82" s="40">
        <f t="shared" si="6"/>
        <v>0</v>
      </c>
      <c r="G82" s="77">
        <v>0.15</v>
      </c>
      <c r="H82" s="40">
        <f>C82*G82</f>
        <v>0</v>
      </c>
      <c r="I82" s="46"/>
      <c r="J82" s="40">
        <f t="shared" si="8"/>
        <v>0</v>
      </c>
    </row>
    <row r="83" spans="1:10" ht="21" customHeight="1" thickBot="1">
      <c r="A83" s="89"/>
      <c r="B83" s="38" t="s">
        <v>300</v>
      </c>
      <c r="C83" s="38"/>
      <c r="D83" s="159" t="s">
        <v>15</v>
      </c>
      <c r="E83" s="160">
        <v>70</v>
      </c>
      <c r="F83" s="178">
        <f t="shared" si="6"/>
        <v>0</v>
      </c>
      <c r="G83" s="161">
        <v>0</v>
      </c>
      <c r="H83" s="178">
        <f>C83*G83</f>
        <v>0</v>
      </c>
      <c r="I83" s="160">
        <v>55</v>
      </c>
      <c r="J83" s="178">
        <f t="shared" si="8"/>
        <v>0</v>
      </c>
    </row>
    <row r="84" spans="1:10" ht="21" customHeight="1" thickTop="1">
      <c r="A84" s="89"/>
      <c r="B84" s="38"/>
      <c r="C84" s="38"/>
      <c r="D84" s="60"/>
      <c r="E84" s="176"/>
      <c r="F84" s="177">
        <f>SUM(F69:F83)</f>
        <v>700</v>
      </c>
      <c r="G84" s="158"/>
      <c r="H84" s="177">
        <f>SUM(H69:H83)</f>
        <v>0</v>
      </c>
      <c r="I84" s="176"/>
      <c r="J84" s="177">
        <f>SUM(J69:J83)</f>
        <v>1544</v>
      </c>
    </row>
    <row r="85" spans="1:10" ht="21" customHeight="1">
      <c r="A85" s="89"/>
      <c r="B85" s="38"/>
      <c r="C85" s="38"/>
      <c r="D85" s="38"/>
      <c r="E85" s="46"/>
      <c r="F85" s="40"/>
      <c r="G85" s="77"/>
      <c r="H85" s="40"/>
      <c r="I85" s="46"/>
      <c r="J85" s="40"/>
    </row>
    <row r="86" spans="1:10" ht="21" customHeight="1">
      <c r="A86" s="89"/>
      <c r="B86" s="249" t="s">
        <v>100</v>
      </c>
      <c r="C86" s="38"/>
      <c r="D86" s="38"/>
      <c r="E86" s="46"/>
      <c r="F86" s="40"/>
      <c r="G86" s="77"/>
      <c r="H86" s="40"/>
      <c r="I86" s="46"/>
      <c r="J86" s="40"/>
    </row>
    <row r="87" spans="1:10" ht="21" customHeight="1">
      <c r="A87" s="89"/>
      <c r="B87" s="38" t="s">
        <v>252</v>
      </c>
      <c r="C87" s="38"/>
      <c r="D87" s="38" t="s">
        <v>16</v>
      </c>
      <c r="E87" s="46">
        <v>2</v>
      </c>
      <c r="F87" s="40">
        <f aca="true" t="shared" si="9" ref="F87:F96">C87*E87</f>
        <v>0</v>
      </c>
      <c r="G87" s="77">
        <v>0</v>
      </c>
      <c r="H87" s="40">
        <f aca="true" t="shared" si="10" ref="H87:H95">C87*G87</f>
        <v>0</v>
      </c>
      <c r="I87" s="46">
        <v>1.5</v>
      </c>
      <c r="J87" s="40">
        <f aca="true" t="shared" si="11" ref="J87:J96">C87*I87</f>
        <v>0</v>
      </c>
    </row>
    <row r="88" spans="1:10" ht="21" customHeight="1">
      <c r="A88" s="89"/>
      <c r="B88" s="38" t="s">
        <v>253</v>
      </c>
      <c r="C88" s="38"/>
      <c r="D88" s="38" t="s">
        <v>16</v>
      </c>
      <c r="E88" s="46">
        <v>1</v>
      </c>
      <c r="F88" s="40">
        <f t="shared" si="9"/>
        <v>0</v>
      </c>
      <c r="G88" s="77">
        <v>0</v>
      </c>
      <c r="H88" s="40">
        <f t="shared" si="10"/>
        <v>0</v>
      </c>
      <c r="I88" s="46">
        <v>0.75</v>
      </c>
      <c r="J88" s="40">
        <f t="shared" si="11"/>
        <v>0</v>
      </c>
    </row>
    <row r="89" spans="1:10" ht="21" customHeight="1">
      <c r="A89" s="89"/>
      <c r="B89" s="38" t="s">
        <v>66</v>
      </c>
      <c r="C89" s="38"/>
      <c r="D89" s="38" t="s">
        <v>59</v>
      </c>
      <c r="E89" s="46">
        <v>0</v>
      </c>
      <c r="F89" s="40">
        <f t="shared" si="9"/>
        <v>0</v>
      </c>
      <c r="G89" s="77">
        <v>17</v>
      </c>
      <c r="H89" s="40">
        <f t="shared" si="10"/>
        <v>0</v>
      </c>
      <c r="I89" s="46"/>
      <c r="J89" s="40">
        <f t="shared" si="11"/>
        <v>0</v>
      </c>
    </row>
    <row r="90" spans="1:10" ht="21" customHeight="1">
      <c r="A90" s="89"/>
      <c r="B90" s="38" t="s">
        <v>265</v>
      </c>
      <c r="C90" s="38"/>
      <c r="D90" s="38" t="s">
        <v>16</v>
      </c>
      <c r="E90" s="46">
        <v>6</v>
      </c>
      <c r="F90" s="40">
        <f t="shared" si="9"/>
        <v>0</v>
      </c>
      <c r="G90" s="77"/>
      <c r="H90" s="40">
        <f t="shared" si="10"/>
        <v>0</v>
      </c>
      <c r="I90" s="46">
        <v>5.5</v>
      </c>
      <c r="J90" s="40">
        <f t="shared" si="11"/>
        <v>0</v>
      </c>
    </row>
    <row r="91" spans="1:10" ht="21" customHeight="1">
      <c r="A91" s="89"/>
      <c r="B91" s="100" t="s">
        <v>638</v>
      </c>
      <c r="C91" s="38"/>
      <c r="D91" s="38" t="s">
        <v>16</v>
      </c>
      <c r="E91" s="46">
        <v>2.4</v>
      </c>
      <c r="F91" s="40">
        <f t="shared" si="9"/>
        <v>0</v>
      </c>
      <c r="G91" s="77"/>
      <c r="H91" s="40">
        <f t="shared" si="10"/>
        <v>0</v>
      </c>
      <c r="I91" s="46">
        <v>2.25</v>
      </c>
      <c r="J91" s="40">
        <f t="shared" si="11"/>
        <v>0</v>
      </c>
    </row>
    <row r="92" spans="1:10" ht="21" customHeight="1">
      <c r="A92" s="89"/>
      <c r="B92" s="38" t="s">
        <v>254</v>
      </c>
      <c r="C92" s="38"/>
      <c r="D92" s="38" t="s">
        <v>16</v>
      </c>
      <c r="E92" s="46">
        <v>1.9</v>
      </c>
      <c r="F92" s="40">
        <f t="shared" si="9"/>
        <v>0</v>
      </c>
      <c r="G92" s="77"/>
      <c r="H92" s="40">
        <f t="shared" si="10"/>
        <v>0</v>
      </c>
      <c r="I92" s="46">
        <v>1.6</v>
      </c>
      <c r="J92" s="40">
        <f t="shared" si="11"/>
        <v>0</v>
      </c>
    </row>
    <row r="93" spans="1:10" ht="21" customHeight="1">
      <c r="A93" s="89"/>
      <c r="B93" s="38" t="s">
        <v>255</v>
      </c>
      <c r="C93" s="38"/>
      <c r="D93" s="100" t="s">
        <v>16</v>
      </c>
      <c r="E93" s="46">
        <v>0.9</v>
      </c>
      <c r="F93" s="40">
        <f t="shared" si="9"/>
        <v>0</v>
      </c>
      <c r="G93" s="77"/>
      <c r="H93" s="40">
        <f t="shared" si="10"/>
        <v>0</v>
      </c>
      <c r="I93" s="46">
        <v>0.75</v>
      </c>
      <c r="J93" s="40">
        <f t="shared" si="11"/>
        <v>0</v>
      </c>
    </row>
    <row r="94" spans="1:10" ht="21" customHeight="1">
      <c r="A94" s="89"/>
      <c r="B94" s="38" t="s">
        <v>67</v>
      </c>
      <c r="C94" s="38"/>
      <c r="D94" s="38" t="s">
        <v>14</v>
      </c>
      <c r="E94" s="46">
        <v>0.35</v>
      </c>
      <c r="F94" s="40">
        <f t="shared" si="9"/>
        <v>0</v>
      </c>
      <c r="G94" s="77"/>
      <c r="H94" s="40">
        <f t="shared" si="10"/>
        <v>0</v>
      </c>
      <c r="I94" s="46">
        <v>0.3</v>
      </c>
      <c r="J94" s="40">
        <f t="shared" si="11"/>
        <v>0</v>
      </c>
    </row>
    <row r="95" spans="1:10" ht="21" customHeight="1">
      <c r="A95" s="89"/>
      <c r="B95" s="38" t="s">
        <v>227</v>
      </c>
      <c r="C95" s="38"/>
      <c r="D95" s="38" t="s">
        <v>59</v>
      </c>
      <c r="E95" s="46">
        <v>0</v>
      </c>
      <c r="F95" s="40" t="s">
        <v>69</v>
      </c>
      <c r="G95" s="77">
        <v>17</v>
      </c>
      <c r="H95" s="40">
        <f t="shared" si="10"/>
        <v>0</v>
      </c>
      <c r="I95" s="46"/>
      <c r="J95" s="40">
        <f t="shared" si="11"/>
        <v>0</v>
      </c>
    </row>
    <row r="96" spans="1:10" ht="21" customHeight="1" thickBot="1">
      <c r="A96" s="89"/>
      <c r="B96" s="38" t="s">
        <v>258</v>
      </c>
      <c r="C96" s="38"/>
      <c r="D96" s="38" t="s">
        <v>14</v>
      </c>
      <c r="E96" s="46">
        <v>0.08</v>
      </c>
      <c r="F96" s="40">
        <f t="shared" si="9"/>
        <v>0</v>
      </c>
      <c r="G96" s="77"/>
      <c r="H96" s="40">
        <f>C96*G96</f>
        <v>0</v>
      </c>
      <c r="I96" s="46">
        <v>0.04</v>
      </c>
      <c r="J96" s="40">
        <f t="shared" si="11"/>
        <v>0</v>
      </c>
    </row>
    <row r="97" spans="1:10" ht="21" customHeight="1" thickTop="1">
      <c r="A97" s="89"/>
      <c r="B97" s="38"/>
      <c r="C97" s="38"/>
      <c r="D97" s="38"/>
      <c r="E97" s="90"/>
      <c r="F97" s="104">
        <f>SUM(F87:F96)</f>
        <v>0</v>
      </c>
      <c r="G97" s="90"/>
      <c r="H97" s="104">
        <f>SUM(H87:H96)</f>
        <v>0</v>
      </c>
      <c r="I97" s="90"/>
      <c r="J97" s="104">
        <f>SUM(J87:J96)</f>
        <v>0</v>
      </c>
    </row>
    <row r="98" spans="1:10" ht="21" customHeight="1">
      <c r="A98" s="89"/>
      <c r="B98" s="231" t="s">
        <v>462</v>
      </c>
      <c r="C98" s="233">
        <f>SUM(F97,H97,J97)</f>
        <v>0</v>
      </c>
      <c r="D98" s="38"/>
      <c r="E98" s="46"/>
      <c r="F98" s="40"/>
      <c r="G98" s="46"/>
      <c r="H98" s="40"/>
      <c r="I98" s="46"/>
      <c r="J98" s="40"/>
    </row>
    <row r="99" spans="1:10" ht="21" customHeight="1">
      <c r="A99" s="89"/>
      <c r="B99" s="130"/>
      <c r="C99" s="66"/>
      <c r="D99" s="89"/>
      <c r="E99" s="102"/>
      <c r="F99" s="103"/>
      <c r="G99" s="102"/>
      <c r="H99" s="103"/>
      <c r="I99" s="102"/>
      <c r="J99" s="103"/>
    </row>
    <row r="100" spans="1:10" ht="21" customHeight="1">
      <c r="A100" s="89"/>
      <c r="B100" s="130"/>
      <c r="C100" s="66"/>
      <c r="D100" s="89"/>
      <c r="E100" s="102"/>
      <c r="F100" s="103"/>
      <c r="G100" s="102"/>
      <c r="H100" s="103"/>
      <c r="I100" s="102"/>
      <c r="J100" s="103"/>
    </row>
    <row r="101" spans="1:10" ht="21" customHeight="1">
      <c r="A101" s="38"/>
      <c r="B101" s="65" t="s">
        <v>107</v>
      </c>
      <c r="C101" s="66"/>
      <c r="D101" s="66"/>
      <c r="E101" s="46"/>
      <c r="F101" s="40"/>
      <c r="G101" s="46"/>
      <c r="H101" s="40"/>
      <c r="I101" s="46"/>
      <c r="J101" s="40"/>
    </row>
    <row r="102" spans="1:10" ht="21" customHeight="1">
      <c r="A102" s="38"/>
      <c r="B102" s="67" t="s">
        <v>248</v>
      </c>
      <c r="C102" s="68">
        <f>C57</f>
        <v>0</v>
      </c>
      <c r="D102" s="69"/>
      <c r="E102" s="46"/>
      <c r="F102" s="40"/>
      <c r="G102" s="46"/>
      <c r="H102" s="40"/>
      <c r="I102" s="46"/>
      <c r="J102" s="40"/>
    </row>
    <row r="103" spans="1:10" ht="21" customHeight="1" thickBot="1">
      <c r="A103" s="38"/>
      <c r="B103" s="71" t="s">
        <v>108</v>
      </c>
      <c r="C103" s="70">
        <f>C65</f>
        <v>4</v>
      </c>
      <c r="D103" s="66" t="s">
        <v>68</v>
      </c>
      <c r="E103" s="46"/>
      <c r="F103" s="40"/>
      <c r="G103" s="46"/>
      <c r="H103" s="40"/>
      <c r="I103" s="46"/>
      <c r="J103" s="40"/>
    </row>
    <row r="104" spans="1:10" ht="21" customHeight="1" thickTop="1">
      <c r="A104" s="38"/>
      <c r="B104" s="67" t="s">
        <v>109</v>
      </c>
      <c r="C104" s="72">
        <f>C102/C103</f>
        <v>0</v>
      </c>
      <c r="D104" s="69"/>
      <c r="E104" s="46"/>
      <c r="F104" s="40"/>
      <c r="G104" s="46"/>
      <c r="H104" s="40"/>
      <c r="I104" s="46"/>
      <c r="J104" s="40"/>
    </row>
    <row r="105" spans="1:10" ht="21" customHeight="1">
      <c r="A105" s="89"/>
      <c r="B105" s="130"/>
      <c r="C105" s="66"/>
      <c r="D105" s="89"/>
      <c r="E105" s="102"/>
      <c r="F105" s="103"/>
      <c r="G105" s="102"/>
      <c r="H105" s="103"/>
      <c r="I105" s="102"/>
      <c r="J105" s="103"/>
    </row>
    <row r="106" spans="1:10" ht="21" customHeight="1">
      <c r="A106" s="38"/>
      <c r="B106" s="110" t="s">
        <v>56</v>
      </c>
      <c r="C106" s="38"/>
      <c r="D106" s="38"/>
      <c r="E106" s="46"/>
      <c r="F106" s="40"/>
      <c r="G106" s="46"/>
      <c r="H106" s="40"/>
      <c r="I106" s="46"/>
      <c r="J106" s="40"/>
    </row>
    <row r="107" spans="1:10" ht="21" customHeight="1">
      <c r="A107" s="38"/>
      <c r="B107" s="249" t="s">
        <v>388</v>
      </c>
      <c r="C107" s="38"/>
      <c r="D107" s="38"/>
      <c r="E107" s="46"/>
      <c r="F107" s="40"/>
      <c r="G107" s="46"/>
      <c r="H107" s="40"/>
      <c r="I107" s="46"/>
      <c r="J107" s="40"/>
    </row>
    <row r="108" spans="1:11" ht="21" customHeight="1">
      <c r="A108" s="128"/>
      <c r="B108" s="38" t="s">
        <v>269</v>
      </c>
      <c r="C108" s="38">
        <v>1</v>
      </c>
      <c r="D108" s="38" t="s">
        <v>59</v>
      </c>
      <c r="E108" s="46"/>
      <c r="F108" s="40">
        <f>C108*E108</f>
        <v>0</v>
      </c>
      <c r="G108" s="77">
        <v>1100</v>
      </c>
      <c r="H108" s="40">
        <f>C108*G108</f>
        <v>1100</v>
      </c>
      <c r="I108" s="52">
        <v>900</v>
      </c>
      <c r="J108" s="40">
        <f aca="true" t="shared" si="12" ref="J108:J116">C108*I108</f>
        <v>900</v>
      </c>
      <c r="K108" s="305">
        <f>F108+H108+J108</f>
        <v>2000</v>
      </c>
    </row>
    <row r="109" spans="1:10" ht="21" customHeight="1">
      <c r="A109" s="128"/>
      <c r="B109" s="38" t="s">
        <v>159</v>
      </c>
      <c r="C109" s="38"/>
      <c r="D109" s="38" t="s">
        <v>15</v>
      </c>
      <c r="E109" s="46">
        <v>15</v>
      </c>
      <c r="F109" s="40">
        <f>C109*E109</f>
        <v>0</v>
      </c>
      <c r="G109" s="77">
        <v>15</v>
      </c>
      <c r="H109" s="40">
        <f>C109*G109</f>
        <v>0</v>
      </c>
      <c r="I109" s="52"/>
      <c r="J109" s="40">
        <f t="shared" si="12"/>
        <v>0</v>
      </c>
    </row>
    <row r="110" spans="1:10" ht="21" customHeight="1" thickBot="1">
      <c r="A110" s="128"/>
      <c r="B110" s="38" t="s">
        <v>257</v>
      </c>
      <c r="C110" s="38"/>
      <c r="D110" s="159" t="s">
        <v>14</v>
      </c>
      <c r="E110" s="160">
        <v>0.14</v>
      </c>
      <c r="F110" s="178">
        <f>C110*E110</f>
        <v>0</v>
      </c>
      <c r="G110" s="161">
        <v>0.28</v>
      </c>
      <c r="H110" s="178">
        <f>C110*G110</f>
        <v>0</v>
      </c>
      <c r="I110" s="180"/>
      <c r="J110" s="178">
        <f t="shared" si="12"/>
        <v>0</v>
      </c>
    </row>
    <row r="111" spans="1:10" ht="21" customHeight="1" thickTop="1">
      <c r="A111" s="128"/>
      <c r="B111" s="38"/>
      <c r="C111" s="38"/>
      <c r="D111" s="60"/>
      <c r="E111" s="176"/>
      <c r="F111" s="177">
        <f>SUM(F108:F110)</f>
        <v>0</v>
      </c>
      <c r="G111" s="158"/>
      <c r="H111" s="177">
        <f>SUM(H108:H110)</f>
        <v>1100</v>
      </c>
      <c r="I111" s="179"/>
      <c r="J111" s="177">
        <f>SUM(J108:J110)</f>
        <v>900</v>
      </c>
    </row>
    <row r="112" spans="1:10" ht="21" customHeight="1">
      <c r="A112" s="128"/>
      <c r="B112" s="38"/>
      <c r="C112" s="38"/>
      <c r="D112" s="38"/>
      <c r="E112" s="46"/>
      <c r="F112" s="40"/>
      <c r="G112" s="77"/>
      <c r="H112" s="40"/>
      <c r="I112" s="52"/>
      <c r="J112" s="40"/>
    </row>
    <row r="113" spans="1:10" ht="21" customHeight="1">
      <c r="A113" s="128"/>
      <c r="B113" s="249" t="s">
        <v>100</v>
      </c>
      <c r="C113" s="38"/>
      <c r="D113" s="38"/>
      <c r="E113" s="46"/>
      <c r="F113" s="40"/>
      <c r="G113" s="77"/>
      <c r="H113" s="40"/>
      <c r="I113" s="52"/>
      <c r="J113" s="40">
        <f t="shared" si="12"/>
        <v>0</v>
      </c>
    </row>
    <row r="114" spans="1:10" ht="21" customHeight="1">
      <c r="A114" s="128"/>
      <c r="B114" s="38" t="s">
        <v>186</v>
      </c>
      <c r="C114" s="38"/>
      <c r="D114" s="38" t="s">
        <v>59</v>
      </c>
      <c r="E114" s="46"/>
      <c r="F114" s="40">
        <f>C114*E114</f>
        <v>0</v>
      </c>
      <c r="G114" s="77">
        <v>1000</v>
      </c>
      <c r="H114" s="40">
        <f>C114*G114</f>
        <v>0</v>
      </c>
      <c r="I114" s="52">
        <v>700</v>
      </c>
      <c r="J114" s="40">
        <f t="shared" si="12"/>
        <v>0</v>
      </c>
    </row>
    <row r="115" spans="1:10" ht="21" customHeight="1">
      <c r="A115" s="128"/>
      <c r="B115" s="38" t="s">
        <v>159</v>
      </c>
      <c r="C115" s="38"/>
      <c r="D115" s="38" t="s">
        <v>15</v>
      </c>
      <c r="E115" s="46">
        <v>15</v>
      </c>
      <c r="F115" s="40">
        <f>C115*E115</f>
        <v>0</v>
      </c>
      <c r="G115" s="77">
        <v>15</v>
      </c>
      <c r="H115" s="40">
        <f>C115*G115</f>
        <v>0</v>
      </c>
      <c r="I115" s="52"/>
      <c r="J115" s="40">
        <f t="shared" si="12"/>
        <v>0</v>
      </c>
    </row>
    <row r="116" spans="1:10" ht="21" customHeight="1" thickBot="1">
      <c r="A116" s="128"/>
      <c r="B116" s="100" t="s">
        <v>640</v>
      </c>
      <c r="C116" s="38"/>
      <c r="D116" s="38" t="s">
        <v>14</v>
      </c>
      <c r="E116" s="46">
        <v>0.14</v>
      </c>
      <c r="F116" s="40">
        <f>C116*E116</f>
        <v>0</v>
      </c>
      <c r="G116" s="77">
        <v>0.35</v>
      </c>
      <c r="H116" s="40">
        <f>C116*G116</f>
        <v>0</v>
      </c>
      <c r="I116" s="52"/>
      <c r="J116" s="40">
        <f t="shared" si="12"/>
        <v>0</v>
      </c>
    </row>
    <row r="117" spans="1:10" ht="21" customHeight="1" thickTop="1">
      <c r="A117" s="38"/>
      <c r="B117" s="38"/>
      <c r="C117" s="38"/>
      <c r="D117" s="38"/>
      <c r="E117" s="90"/>
      <c r="F117" s="104">
        <f>SUM(F114:F116)</f>
        <v>0</v>
      </c>
      <c r="G117" s="90"/>
      <c r="H117" s="104">
        <f>SUM(H114:H116)</f>
        <v>0</v>
      </c>
      <c r="I117" s="90"/>
      <c r="J117" s="104">
        <f>SUM(J114:J116)</f>
        <v>0</v>
      </c>
    </row>
    <row r="118" spans="1:10" ht="21" customHeight="1">
      <c r="A118" s="38"/>
      <c r="B118" s="231" t="s">
        <v>463</v>
      </c>
      <c r="C118" s="233">
        <f>SUM(F117,H117,J117)</f>
        <v>0</v>
      </c>
      <c r="D118" s="38"/>
      <c r="E118" s="46"/>
      <c r="F118" s="40"/>
      <c r="G118" s="46"/>
      <c r="H118" s="40"/>
      <c r="I118" s="46"/>
      <c r="J118" s="40"/>
    </row>
    <row r="119" spans="1:10" ht="21" customHeight="1">
      <c r="A119" s="38"/>
      <c r="B119" s="113"/>
      <c r="C119" s="60"/>
      <c r="D119" s="38"/>
      <c r="E119" s="46"/>
      <c r="F119" s="40"/>
      <c r="G119" s="46"/>
      <c r="H119" s="40"/>
      <c r="I119" s="46"/>
      <c r="J119" s="40"/>
    </row>
    <row r="120" spans="1:10" ht="21" customHeight="1">
      <c r="A120" s="38"/>
      <c r="B120" s="110" t="s">
        <v>57</v>
      </c>
      <c r="C120" s="38"/>
      <c r="D120" s="38"/>
      <c r="E120" s="46"/>
      <c r="F120" s="40"/>
      <c r="G120" s="46"/>
      <c r="H120" s="40"/>
      <c r="I120" s="46"/>
      <c r="J120" s="40"/>
    </row>
    <row r="121" spans="1:10" ht="21" customHeight="1">
      <c r="A121" s="38"/>
      <c r="B121" s="249" t="s">
        <v>388</v>
      </c>
      <c r="C121" s="38"/>
      <c r="D121" s="38"/>
      <c r="E121" s="46"/>
      <c r="F121" s="40"/>
      <c r="G121" s="46"/>
      <c r="H121" s="40"/>
      <c r="I121" s="46"/>
      <c r="J121" s="40"/>
    </row>
    <row r="122" spans="1:11" ht="21" customHeight="1">
      <c r="A122" s="128"/>
      <c r="B122" s="38" t="s">
        <v>161</v>
      </c>
      <c r="C122" s="38">
        <v>150</v>
      </c>
      <c r="D122" s="38" t="s">
        <v>14</v>
      </c>
      <c r="E122" s="46"/>
      <c r="F122" s="40">
        <f>C122*E122</f>
        <v>0</v>
      </c>
      <c r="G122" s="77"/>
      <c r="H122" s="40">
        <f>C122*G122</f>
        <v>0</v>
      </c>
      <c r="I122" s="46">
        <v>6</v>
      </c>
      <c r="J122" s="40">
        <f>C122*I122</f>
        <v>900</v>
      </c>
      <c r="K122" s="305">
        <f>F122+H122+J122</f>
        <v>900</v>
      </c>
    </row>
    <row r="123" spans="1:10" ht="21" customHeight="1">
      <c r="A123" s="128"/>
      <c r="B123" s="38" t="s">
        <v>359</v>
      </c>
      <c r="C123" s="38"/>
      <c r="D123" s="38" t="s">
        <v>14</v>
      </c>
      <c r="E123" s="46"/>
      <c r="F123" s="40">
        <f>C123*E123</f>
        <v>0</v>
      </c>
      <c r="G123" s="77"/>
      <c r="H123" s="40">
        <f>C123*G123</f>
        <v>0</v>
      </c>
      <c r="I123" s="46">
        <v>1.4</v>
      </c>
      <c r="J123" s="40">
        <f>C123*I123</f>
        <v>0</v>
      </c>
    </row>
    <row r="124" spans="1:13" ht="21" customHeight="1">
      <c r="A124" s="128"/>
      <c r="B124" s="38" t="s">
        <v>115</v>
      </c>
      <c r="C124" s="38"/>
      <c r="D124" s="38" t="s">
        <v>14</v>
      </c>
      <c r="E124" s="46">
        <v>3</v>
      </c>
      <c r="F124" s="40">
        <f>C124*E124</f>
        <v>0</v>
      </c>
      <c r="G124" s="77"/>
      <c r="H124" s="40">
        <f>C124*G124</f>
        <v>0</v>
      </c>
      <c r="I124" s="52"/>
      <c r="J124" s="40">
        <f>C124*I124</f>
        <v>0</v>
      </c>
      <c r="L124" s="45" t="s">
        <v>879</v>
      </c>
      <c r="M124" s="305">
        <f>K122+K10+K69+K70+K75+K76+K108</f>
        <v>5884</v>
      </c>
    </row>
    <row r="125" spans="1:10" ht="21" customHeight="1">
      <c r="A125" s="128"/>
      <c r="B125" s="38" t="s">
        <v>299</v>
      </c>
      <c r="C125" s="38"/>
      <c r="D125" s="38" t="s">
        <v>14</v>
      </c>
      <c r="E125" s="46">
        <v>3</v>
      </c>
      <c r="F125" s="40">
        <f>C125*E125</f>
        <v>0</v>
      </c>
      <c r="G125" s="77"/>
      <c r="H125" s="40">
        <f>C125*G125</f>
        <v>0</v>
      </c>
      <c r="I125" s="52"/>
      <c r="J125" s="40">
        <f>C125*I125</f>
        <v>0</v>
      </c>
    </row>
    <row r="126" spans="1:10" ht="21" customHeight="1">
      <c r="A126" s="128"/>
      <c r="B126" s="38" t="s">
        <v>61</v>
      </c>
      <c r="C126" s="43"/>
      <c r="D126" s="43" t="s">
        <v>14</v>
      </c>
      <c r="E126" s="132">
        <v>0.1</v>
      </c>
      <c r="F126" s="133">
        <f>C126*E126</f>
        <v>0</v>
      </c>
      <c r="G126" s="253">
        <v>0.08</v>
      </c>
      <c r="H126" s="133">
        <f>C126*G126</f>
        <v>0</v>
      </c>
      <c r="I126" s="254"/>
      <c r="J126" s="133">
        <f>C126*I126</f>
        <v>0</v>
      </c>
    </row>
    <row r="127" spans="1:10" ht="21" customHeight="1">
      <c r="A127" s="128"/>
      <c r="B127" s="38"/>
      <c r="C127" s="60"/>
      <c r="D127" s="60"/>
      <c r="E127" s="176"/>
      <c r="F127" s="177">
        <f>SUM(F122:F126)</f>
        <v>0</v>
      </c>
      <c r="G127" s="158"/>
      <c r="H127" s="177">
        <f>SUM(H122:H126)</f>
        <v>0</v>
      </c>
      <c r="I127" s="179"/>
      <c r="J127" s="177">
        <f>SUM(J122:J126)</f>
        <v>900</v>
      </c>
    </row>
    <row r="128" spans="1:10" ht="21" customHeight="1">
      <c r="A128" s="128"/>
      <c r="B128" s="38"/>
      <c r="C128" s="38"/>
      <c r="D128" s="38"/>
      <c r="E128" s="46"/>
      <c r="F128" s="40"/>
      <c r="G128" s="77"/>
      <c r="H128" s="40"/>
      <c r="I128" s="52"/>
      <c r="J128" s="40"/>
    </row>
    <row r="129" spans="1:10" ht="21" customHeight="1">
      <c r="A129" s="128"/>
      <c r="B129" s="249" t="s">
        <v>100</v>
      </c>
      <c r="C129" s="38"/>
      <c r="D129" s="38"/>
      <c r="E129" s="46"/>
      <c r="F129" s="40"/>
      <c r="G129" s="77"/>
      <c r="H129" s="40"/>
      <c r="I129" s="52"/>
      <c r="J129" s="40"/>
    </row>
    <row r="130" spans="1:10" ht="21" customHeight="1">
      <c r="A130" s="128"/>
      <c r="B130" s="100" t="s">
        <v>641</v>
      </c>
      <c r="C130" s="38"/>
      <c r="D130" s="38" t="s">
        <v>14</v>
      </c>
      <c r="E130" s="46">
        <v>4.5</v>
      </c>
      <c r="F130" s="40">
        <f>C130*E130</f>
        <v>0</v>
      </c>
      <c r="G130" s="77"/>
      <c r="H130" s="40">
        <f>C130*G130</f>
        <v>0</v>
      </c>
      <c r="I130" s="52"/>
      <c r="J130" s="40">
        <f>C130*I130</f>
        <v>0</v>
      </c>
    </row>
    <row r="131" spans="1:10" ht="21" customHeight="1">
      <c r="A131" s="128"/>
      <c r="B131" s="38" t="s">
        <v>60</v>
      </c>
      <c r="C131" s="38"/>
      <c r="D131" s="38" t="s">
        <v>14</v>
      </c>
      <c r="E131" s="46"/>
      <c r="F131" s="40">
        <f>C131*E131</f>
        <v>0</v>
      </c>
      <c r="G131" s="77"/>
      <c r="H131" s="40">
        <f>C131*G131</f>
        <v>0</v>
      </c>
      <c r="I131" s="46">
        <v>1.4</v>
      </c>
      <c r="J131" s="40">
        <f>C131*I131</f>
        <v>0</v>
      </c>
    </row>
    <row r="132" spans="1:10" ht="21" customHeight="1">
      <c r="A132" s="128"/>
      <c r="B132" s="100" t="s">
        <v>561</v>
      </c>
      <c r="C132" s="38"/>
      <c r="D132" s="38" t="s">
        <v>14</v>
      </c>
      <c r="E132" s="46"/>
      <c r="F132" s="40">
        <f>C132*E132</f>
        <v>0</v>
      </c>
      <c r="G132" s="77"/>
      <c r="H132" s="40">
        <f>C132*G132</f>
        <v>0</v>
      </c>
      <c r="I132" s="46">
        <v>1.4</v>
      </c>
      <c r="J132" s="40">
        <f>C132*I132</f>
        <v>0</v>
      </c>
    </row>
    <row r="133" spans="1:10" ht="21" customHeight="1">
      <c r="A133" s="128"/>
      <c r="B133" s="100" t="s">
        <v>196</v>
      </c>
      <c r="C133" s="38"/>
      <c r="D133" s="38" t="s">
        <v>16</v>
      </c>
      <c r="E133" s="46"/>
      <c r="F133" s="40">
        <f>C133*E133</f>
        <v>0</v>
      </c>
      <c r="G133" s="77"/>
      <c r="H133" s="40">
        <f>C133*G133</f>
        <v>0</v>
      </c>
      <c r="I133" s="46">
        <v>1.25</v>
      </c>
      <c r="J133" s="40">
        <f>C133*I133</f>
        <v>0</v>
      </c>
    </row>
    <row r="134" spans="1:10" ht="21" customHeight="1" thickBot="1">
      <c r="A134" s="128"/>
      <c r="B134" s="38" t="s">
        <v>61</v>
      </c>
      <c r="C134" s="38"/>
      <c r="D134" s="38" t="s">
        <v>14</v>
      </c>
      <c r="E134" s="46">
        <v>0.1</v>
      </c>
      <c r="F134" s="40">
        <f>C134*E134</f>
        <v>0</v>
      </c>
      <c r="G134" s="77">
        <v>0.08</v>
      </c>
      <c r="H134" s="40">
        <f>C134*G134</f>
        <v>0</v>
      </c>
      <c r="I134" s="52"/>
      <c r="J134" s="40">
        <f>C134*I134</f>
        <v>0</v>
      </c>
    </row>
    <row r="135" spans="1:10" ht="21" customHeight="1" thickTop="1">
      <c r="A135" s="38"/>
      <c r="B135" s="38"/>
      <c r="C135" s="38"/>
      <c r="D135" s="38"/>
      <c r="E135" s="90"/>
      <c r="F135" s="104">
        <f>SUM(F130:F134)</f>
        <v>0</v>
      </c>
      <c r="G135" s="90"/>
      <c r="H135" s="104">
        <f>SUM(H130:H134)</f>
        <v>0</v>
      </c>
      <c r="I135" s="90"/>
      <c r="J135" s="104">
        <f>SUM(J130:J134)</f>
        <v>0</v>
      </c>
    </row>
    <row r="136" spans="1:10" ht="21" customHeight="1">
      <c r="A136" s="38"/>
      <c r="B136" s="231" t="s">
        <v>464</v>
      </c>
      <c r="C136" s="233">
        <f>SUM(F135,H135,J135)</f>
        <v>0</v>
      </c>
      <c r="D136" s="38"/>
      <c r="E136" s="46"/>
      <c r="F136" s="40"/>
      <c r="G136" s="46"/>
      <c r="H136" s="40"/>
      <c r="I136" s="46"/>
      <c r="J136" s="40"/>
    </row>
    <row r="137" spans="1:10" ht="21" customHeight="1">
      <c r="A137" s="89"/>
      <c r="B137" s="130"/>
      <c r="C137" s="58"/>
      <c r="D137" s="89"/>
      <c r="E137" s="102"/>
      <c r="F137" s="103"/>
      <c r="G137" s="102"/>
      <c r="H137" s="103"/>
      <c r="I137" s="102"/>
      <c r="J137" s="103"/>
    </row>
    <row r="138" spans="1:10" ht="21" customHeight="1">
      <c r="A138" s="89"/>
      <c r="B138" s="175" t="s">
        <v>375</v>
      </c>
      <c r="C138" s="58"/>
      <c r="D138" s="89"/>
      <c r="E138" s="102"/>
      <c r="F138" s="103"/>
      <c r="G138" s="102"/>
      <c r="H138" s="103"/>
      <c r="I138" s="102"/>
      <c r="J138" s="103"/>
    </row>
    <row r="139" spans="1:10" ht="21" customHeight="1">
      <c r="A139" s="89"/>
      <c r="B139" s="130" t="s">
        <v>386</v>
      </c>
      <c r="C139" s="58"/>
      <c r="D139" s="89"/>
      <c r="E139" s="102"/>
      <c r="F139" s="103">
        <f>SUM(F56,F97,F117,F135)</f>
        <v>0</v>
      </c>
      <c r="G139" s="102"/>
      <c r="H139" s="103">
        <f>SUM(H56,H97,H117,H135)</f>
        <v>0</v>
      </c>
      <c r="I139" s="102"/>
      <c r="J139" s="103">
        <f>SUM(J56,J97,J117,J135)</f>
        <v>0</v>
      </c>
    </row>
    <row r="140" spans="1:10" ht="21" customHeight="1">
      <c r="A140" s="89"/>
      <c r="B140" s="130" t="s">
        <v>387</v>
      </c>
      <c r="C140" s="58"/>
      <c r="D140" s="89"/>
      <c r="E140" s="102"/>
      <c r="F140" s="103">
        <f>SUM(F40,F84,F111,F127)</f>
        <v>940</v>
      </c>
      <c r="G140" s="102"/>
      <c r="H140" s="103">
        <f>SUM(H40,H84,H111,H127)</f>
        <v>1600</v>
      </c>
      <c r="I140" s="102"/>
      <c r="J140" s="103">
        <f>SUM(J40,J84,J111,J127)</f>
        <v>3344</v>
      </c>
    </row>
    <row r="141" spans="1:10" ht="21" customHeight="1">
      <c r="A141" s="89"/>
      <c r="B141" s="130"/>
      <c r="C141" s="58"/>
      <c r="D141" s="89"/>
      <c r="E141" s="102"/>
      <c r="F141" s="103"/>
      <c r="G141" s="102"/>
      <c r="H141" s="103"/>
      <c r="I141" s="102"/>
      <c r="J141" s="103"/>
    </row>
    <row r="142" spans="1:10" ht="21" customHeight="1">
      <c r="A142" s="89"/>
      <c r="B142" s="130"/>
      <c r="C142" s="58"/>
      <c r="D142" s="89"/>
      <c r="E142" s="102"/>
      <c r="F142" s="103"/>
      <c r="G142" s="102"/>
      <c r="H142" s="103"/>
      <c r="I142" s="102"/>
      <c r="J142" s="103"/>
    </row>
    <row r="143" spans="1:10" ht="21" customHeight="1">
      <c r="A143" s="38"/>
      <c r="B143" s="65" t="s">
        <v>107</v>
      </c>
      <c r="C143" s="66"/>
      <c r="D143" s="66"/>
      <c r="E143" s="46"/>
      <c r="F143" s="40"/>
      <c r="G143" s="46"/>
      <c r="H143" s="40"/>
      <c r="I143" s="46"/>
      <c r="J143" s="40"/>
    </row>
    <row r="144" spans="1:10" ht="21" customHeight="1">
      <c r="A144" s="38"/>
      <c r="B144" s="67" t="s">
        <v>249</v>
      </c>
      <c r="C144" s="68">
        <f>C57+C118+C136</f>
        <v>0</v>
      </c>
      <c r="D144" s="69"/>
      <c r="E144" s="46"/>
      <c r="F144" s="40"/>
      <c r="G144" s="46"/>
      <c r="H144" s="40"/>
      <c r="I144" s="46"/>
      <c r="J144" s="40"/>
    </row>
    <row r="145" spans="1:10" ht="21" customHeight="1" thickBot="1">
      <c r="A145" s="38"/>
      <c r="B145" s="71" t="s">
        <v>108</v>
      </c>
      <c r="C145" s="70">
        <f>C65</f>
        <v>4</v>
      </c>
      <c r="D145" s="66" t="s">
        <v>68</v>
      </c>
      <c r="E145" s="46"/>
      <c r="F145" s="40"/>
      <c r="G145" s="46"/>
      <c r="H145" s="40"/>
      <c r="I145" s="46"/>
      <c r="J145" s="40"/>
    </row>
    <row r="146" spans="1:10" ht="21" customHeight="1" thickTop="1">
      <c r="A146" s="38"/>
      <c r="B146" s="67" t="s">
        <v>109</v>
      </c>
      <c r="C146" s="72">
        <f>C144/C145</f>
        <v>0</v>
      </c>
      <c r="D146" s="69"/>
      <c r="E146" s="46"/>
      <c r="F146" s="40"/>
      <c r="G146" s="46"/>
      <c r="H146" s="40"/>
      <c r="I146" s="46"/>
      <c r="J146" s="40"/>
    </row>
    <row r="147" spans="1:10" ht="21" customHeight="1">
      <c r="A147" s="89"/>
      <c r="B147" s="130"/>
      <c r="C147" s="58"/>
      <c r="D147" s="89"/>
      <c r="E147" s="102"/>
      <c r="F147" s="103"/>
      <c r="G147" s="102"/>
      <c r="H147" s="103"/>
      <c r="I147" s="102"/>
      <c r="J147" s="103"/>
    </row>
    <row r="148" spans="1:10" ht="21" customHeight="1">
      <c r="A148" s="43"/>
      <c r="B148" s="43"/>
      <c r="C148" s="43"/>
      <c r="D148" s="43"/>
      <c r="E148" s="132"/>
      <c r="F148" s="133"/>
      <c r="G148" s="132"/>
      <c r="H148" s="133"/>
      <c r="I148" s="132"/>
      <c r="J148" s="133"/>
    </row>
  </sheetData>
  <sheetProtection/>
  <mergeCells count="1">
    <mergeCell ref="F2:G2"/>
  </mergeCells>
  <printOptions/>
  <pageMargins left="0.25" right="0.25" top="0.75" bottom="0.75" header="0.3" footer="0.3"/>
  <pageSetup horizontalDpi="300" verticalDpi="300" orientation="landscape" r:id="rId1"/>
  <headerFooter alignWithMargins="0">
    <oddHeader>&amp;RPage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51"/>
  <sheetViews>
    <sheetView zoomScalePageLayoutView="0" workbookViewId="0" topLeftCell="A1">
      <selection activeCell="J8" sqref="J8"/>
    </sheetView>
  </sheetViews>
  <sheetFormatPr defaultColWidth="8.8515625" defaultRowHeight="12.75"/>
  <cols>
    <col min="1" max="1" width="9.421875" style="45" customWidth="1"/>
    <col min="2" max="2" width="44.7109375" style="45" bestFit="1" customWidth="1"/>
    <col min="3" max="3" width="11.140625" style="45" customWidth="1"/>
    <col min="4" max="4" width="9.140625" style="45" customWidth="1"/>
    <col min="5" max="5" width="7.28125" style="136" customWidth="1"/>
    <col min="6" max="6" width="10.28125" style="45" customWidth="1"/>
    <col min="7" max="7" width="7.28125" style="136" customWidth="1"/>
    <col min="8" max="8" width="14.00390625" style="45" bestFit="1" customWidth="1"/>
    <col min="9" max="9" width="7.28125" style="136" customWidth="1"/>
    <col min="10" max="10" width="10.28125" style="45" customWidth="1"/>
    <col min="11" max="16384" width="8.8515625" style="45" customWidth="1"/>
  </cols>
  <sheetData>
    <row r="1" spans="1:9" ht="12.75">
      <c r="A1" s="166" t="s">
        <v>369</v>
      </c>
      <c r="B1" s="195">
        <f>Spread!B1</f>
        <v>0</v>
      </c>
      <c r="C1" s="165" t="s">
        <v>370</v>
      </c>
      <c r="D1" s="196" t="e">
        <f>Spread!#REF!</f>
        <v>#REF!</v>
      </c>
      <c r="E1"/>
      <c r="F1" s="165" t="s">
        <v>371</v>
      </c>
      <c r="G1" s="51"/>
      <c r="H1" s="170" t="e">
        <f>Spread!#REF!</f>
        <v>#REF!</v>
      </c>
      <c r="I1" s="45"/>
    </row>
    <row r="2" spans="1:9" ht="12.75">
      <c r="A2" s="166"/>
      <c r="B2" s="195" t="e">
        <f>Spread!#REF!</f>
        <v>#REF!</v>
      </c>
      <c r="C2" s="51"/>
      <c r="D2" s="51"/>
      <c r="E2"/>
      <c r="F2" s="476" t="s">
        <v>447</v>
      </c>
      <c r="G2" s="476"/>
      <c r="H2" s="197" t="e">
        <f>Spread!#REF!</f>
        <v>#REF!</v>
      </c>
      <c r="I2" s="45"/>
    </row>
    <row r="3" spans="1:9" ht="12.75" customHeight="1">
      <c r="A3" s="168"/>
      <c r="B3" s="195">
        <f>Spread!B3</f>
        <v>0</v>
      </c>
      <c r="C3" s="165" t="s">
        <v>445</v>
      </c>
      <c r="D3" s="51" t="e">
        <f>Spread!#REF!</f>
        <v>#REF!</v>
      </c>
      <c r="E3" s="51"/>
      <c r="F3" s="51"/>
      <c r="G3" s="51"/>
      <c r="H3" s="51"/>
      <c r="I3" s="118"/>
    </row>
    <row r="4" spans="2:9" ht="12" customHeight="1">
      <c r="B4" s="119"/>
      <c r="E4" s="45"/>
      <c r="G4" s="45"/>
      <c r="I4" s="45"/>
    </row>
    <row r="5" spans="1:10" ht="12.75" customHeight="1">
      <c r="A5" s="120" t="s">
        <v>7</v>
      </c>
      <c r="B5" s="120" t="s">
        <v>0</v>
      </c>
      <c r="C5" s="120" t="s">
        <v>8</v>
      </c>
      <c r="D5" s="120" t="s">
        <v>9</v>
      </c>
      <c r="E5" s="173" t="s">
        <v>2</v>
      </c>
      <c r="F5" s="174"/>
      <c r="G5" s="121" t="s">
        <v>1</v>
      </c>
      <c r="H5" s="122"/>
      <c r="I5" s="121" t="s">
        <v>10</v>
      </c>
      <c r="J5" s="122"/>
    </row>
    <row r="6" spans="1:10" ht="12.75" customHeight="1" thickBot="1">
      <c r="A6" s="123"/>
      <c r="B6" s="123"/>
      <c r="C6" s="123"/>
      <c r="D6" s="123"/>
      <c r="E6" s="124" t="s">
        <v>11</v>
      </c>
      <c r="F6" s="123" t="s">
        <v>12</v>
      </c>
      <c r="G6" s="124" t="s">
        <v>11</v>
      </c>
      <c r="H6" s="123" t="s">
        <v>12</v>
      </c>
      <c r="I6" s="124" t="s">
        <v>13</v>
      </c>
      <c r="J6" s="123" t="s">
        <v>12</v>
      </c>
    </row>
    <row r="7" spans="1:10" ht="21" customHeight="1" thickTop="1">
      <c r="A7" s="41"/>
      <c r="B7" s="125" t="s">
        <v>20</v>
      </c>
      <c r="C7" s="41"/>
      <c r="D7" s="162" t="s">
        <v>333</v>
      </c>
      <c r="E7" s="126"/>
      <c r="F7" s="127"/>
      <c r="G7" s="126"/>
      <c r="H7" s="127"/>
      <c r="I7" s="126"/>
      <c r="J7" s="127"/>
    </row>
    <row r="8" spans="1:10" ht="21" customHeight="1">
      <c r="A8" s="38"/>
      <c r="B8" s="38" t="s">
        <v>881</v>
      </c>
      <c r="C8" s="38">
        <v>450</v>
      </c>
      <c r="D8" s="38" t="s">
        <v>14</v>
      </c>
      <c r="E8" s="46"/>
      <c r="F8" s="40">
        <f>C8*E8</f>
        <v>0</v>
      </c>
      <c r="G8" s="46"/>
      <c r="H8" s="40">
        <f>C8*G8</f>
        <v>0</v>
      </c>
      <c r="I8" s="46">
        <v>20</v>
      </c>
      <c r="J8" s="40">
        <f>C8*I8</f>
        <v>9000</v>
      </c>
    </row>
    <row r="9" spans="1:10" ht="21" customHeight="1">
      <c r="A9" s="38"/>
      <c r="B9" s="38" t="s">
        <v>229</v>
      </c>
      <c r="C9" s="38"/>
      <c r="D9" s="38" t="s">
        <v>14</v>
      </c>
      <c r="E9" s="46"/>
      <c r="F9" s="40">
        <f>C9*E9</f>
        <v>0</v>
      </c>
      <c r="G9" s="46"/>
      <c r="H9" s="40">
        <f>C9*G9</f>
        <v>0</v>
      </c>
      <c r="I9" s="46">
        <v>16</v>
      </c>
      <c r="J9" s="40">
        <f>C9*I9</f>
        <v>0</v>
      </c>
    </row>
    <row r="10" spans="1:10" ht="21" customHeight="1">
      <c r="A10" s="38"/>
      <c r="B10" s="100" t="s">
        <v>591</v>
      </c>
      <c r="C10" s="38"/>
      <c r="D10" s="38" t="s">
        <v>14</v>
      </c>
      <c r="E10" s="46"/>
      <c r="F10" s="40">
        <f>C10*E10</f>
        <v>0</v>
      </c>
      <c r="G10" s="46"/>
      <c r="H10" s="40">
        <f>C10*G10</f>
        <v>0</v>
      </c>
      <c r="I10" s="46">
        <v>1</v>
      </c>
      <c r="J10" s="40">
        <f>C10*I10</f>
        <v>0</v>
      </c>
    </row>
    <row r="11" spans="1:10" ht="21" customHeight="1">
      <c r="A11" s="38"/>
      <c r="B11" s="38" t="s">
        <v>63</v>
      </c>
      <c r="C11" s="38"/>
      <c r="D11" s="38" t="s">
        <v>14</v>
      </c>
      <c r="E11" s="46"/>
      <c r="F11" s="40">
        <f>C11*E11</f>
        <v>0</v>
      </c>
      <c r="G11" s="46"/>
      <c r="H11" s="40">
        <f>C11*G11</f>
        <v>0</v>
      </c>
      <c r="I11" s="46">
        <v>25</v>
      </c>
      <c r="J11" s="40">
        <f>C11*I11</f>
        <v>0</v>
      </c>
    </row>
    <row r="12" spans="1:10" ht="21" customHeight="1" thickBot="1">
      <c r="A12" s="38"/>
      <c r="B12" s="100" t="s">
        <v>642</v>
      </c>
      <c r="C12" s="38"/>
      <c r="D12" s="38" t="s">
        <v>14</v>
      </c>
      <c r="E12" s="46"/>
      <c r="F12" s="40">
        <f>C12*E12</f>
        <v>0</v>
      </c>
      <c r="G12" s="46"/>
      <c r="H12" s="40">
        <f>C12*G12</f>
        <v>0</v>
      </c>
      <c r="I12" s="46">
        <v>32</v>
      </c>
      <c r="J12" s="40">
        <f>C12*I12</f>
        <v>0</v>
      </c>
    </row>
    <row r="13" spans="1:10" ht="21" customHeight="1" thickTop="1">
      <c r="A13" s="38"/>
      <c r="B13" s="38"/>
      <c r="C13" s="38"/>
      <c r="D13" s="38"/>
      <c r="E13" s="90"/>
      <c r="F13" s="104">
        <f>SUM(F8:F12)</f>
        <v>0</v>
      </c>
      <c r="G13" s="90"/>
      <c r="H13" s="104">
        <f>SUM(H8:H12)</f>
        <v>0</v>
      </c>
      <c r="I13" s="90"/>
      <c r="J13" s="104">
        <f>SUM(J8:J12)</f>
        <v>9000</v>
      </c>
    </row>
    <row r="14" spans="1:10" ht="21" customHeight="1">
      <c r="A14" s="38"/>
      <c r="B14" s="231" t="s">
        <v>465</v>
      </c>
      <c r="C14" s="233">
        <f>SUM(F13,H13,J13)</f>
        <v>9000</v>
      </c>
      <c r="D14" s="38"/>
      <c r="E14" s="46"/>
      <c r="F14" s="40"/>
      <c r="G14" s="46"/>
      <c r="H14" s="40"/>
      <c r="I14" s="46"/>
      <c r="J14" s="40"/>
    </row>
    <row r="15" spans="1:10" ht="12" customHeight="1">
      <c r="A15" s="38"/>
      <c r="B15" s="38"/>
      <c r="C15" s="38"/>
      <c r="D15" s="38"/>
      <c r="E15" s="46"/>
      <c r="F15" s="40"/>
      <c r="G15" s="46"/>
      <c r="H15" s="40"/>
      <c r="I15" s="46"/>
      <c r="J15" s="40"/>
    </row>
    <row r="16" spans="1:10" ht="21" customHeight="1">
      <c r="A16" s="38"/>
      <c r="B16" s="110" t="s">
        <v>131</v>
      </c>
      <c r="C16" s="38"/>
      <c r="D16" s="38"/>
      <c r="E16" s="46"/>
      <c r="F16" s="40"/>
      <c r="G16" s="46"/>
      <c r="H16" s="40"/>
      <c r="I16" s="46"/>
      <c r="J16" s="40"/>
    </row>
    <row r="17" spans="1:10" ht="21" customHeight="1">
      <c r="A17" s="38"/>
      <c r="B17" s="147" t="s">
        <v>197</v>
      </c>
      <c r="C17" s="38"/>
      <c r="D17" s="38" t="s">
        <v>14</v>
      </c>
      <c r="E17" s="46"/>
      <c r="F17" s="40">
        <f>C17*E17</f>
        <v>0</v>
      </c>
      <c r="G17" s="46"/>
      <c r="H17" s="40">
        <f>C17*G17</f>
        <v>0</v>
      </c>
      <c r="I17" s="46">
        <v>2</v>
      </c>
      <c r="J17" s="40">
        <f>C17*I17</f>
        <v>0</v>
      </c>
    </row>
    <row r="18" spans="1:10" ht="21" customHeight="1">
      <c r="A18" s="38"/>
      <c r="B18" s="38" t="s">
        <v>148</v>
      </c>
      <c r="C18" s="38"/>
      <c r="D18" s="38" t="s">
        <v>14</v>
      </c>
      <c r="E18" s="46"/>
      <c r="F18" s="40">
        <f>C18*E18</f>
        <v>0</v>
      </c>
      <c r="G18" s="46"/>
      <c r="H18" s="40">
        <f>C18*G18</f>
        <v>0</v>
      </c>
      <c r="I18" s="46">
        <v>40</v>
      </c>
      <c r="J18" s="40">
        <f>C18*I18</f>
        <v>0</v>
      </c>
    </row>
    <row r="19" spans="1:10" ht="21" customHeight="1" thickBot="1">
      <c r="A19" s="38"/>
      <c r="B19" s="38" t="s">
        <v>149</v>
      </c>
      <c r="C19" s="38"/>
      <c r="D19" s="38" t="s">
        <v>14</v>
      </c>
      <c r="E19" s="46"/>
      <c r="F19" s="40">
        <f>C19*E19</f>
        <v>0</v>
      </c>
      <c r="G19" s="46"/>
      <c r="H19" s="40">
        <f>C19*G19</f>
        <v>0</v>
      </c>
      <c r="I19" s="46">
        <v>15</v>
      </c>
      <c r="J19" s="40">
        <f>C19*I19</f>
        <v>0</v>
      </c>
    </row>
    <row r="20" spans="1:10" ht="21" customHeight="1" thickTop="1">
      <c r="A20" s="38"/>
      <c r="B20" s="38"/>
      <c r="C20" s="38"/>
      <c r="D20" s="38"/>
      <c r="E20" s="90"/>
      <c r="F20" s="104">
        <f>SUM(F17:F19)</f>
        <v>0</v>
      </c>
      <c r="G20" s="90"/>
      <c r="H20" s="104">
        <f>SUM(H17:H19)</f>
        <v>0</v>
      </c>
      <c r="I20" s="90"/>
      <c r="J20" s="104">
        <f>SUM(J17:J19)</f>
        <v>0</v>
      </c>
    </row>
    <row r="21" spans="1:10" ht="21" customHeight="1">
      <c r="A21" s="38"/>
      <c r="B21" s="231" t="s">
        <v>466</v>
      </c>
      <c r="C21" s="233">
        <f>SUM(F20,H20,J20)</f>
        <v>0</v>
      </c>
      <c r="D21" s="38"/>
      <c r="E21" s="46"/>
      <c r="F21" s="40"/>
      <c r="G21" s="46"/>
      <c r="H21" s="40"/>
      <c r="I21" s="46"/>
      <c r="J21" s="40"/>
    </row>
    <row r="22" spans="1:10" ht="21" customHeight="1">
      <c r="A22" s="89"/>
      <c r="B22" s="89"/>
      <c r="C22" s="89"/>
      <c r="D22" s="89"/>
      <c r="E22" s="102"/>
      <c r="F22" s="103"/>
      <c r="G22" s="102"/>
      <c r="H22" s="103"/>
      <c r="I22" s="102"/>
      <c r="J22" s="103"/>
    </row>
    <row r="23" spans="1:10" ht="21" customHeight="1">
      <c r="A23" s="89"/>
      <c r="B23" s="89"/>
      <c r="C23" s="89"/>
      <c r="D23" s="89"/>
      <c r="E23" s="102"/>
      <c r="F23" s="103"/>
      <c r="G23" s="102"/>
      <c r="H23" s="103"/>
      <c r="I23" s="102"/>
      <c r="J23" s="103"/>
    </row>
    <row r="24" spans="1:10" ht="21" customHeight="1">
      <c r="A24" s="89"/>
      <c r="B24" s="89"/>
      <c r="C24" s="89"/>
      <c r="D24" s="89"/>
      <c r="E24" s="102"/>
      <c r="F24" s="103"/>
      <c r="G24" s="102"/>
      <c r="H24" s="103"/>
      <c r="I24" s="102"/>
      <c r="J24" s="103"/>
    </row>
    <row r="25" spans="1:10" ht="21" customHeight="1">
      <c r="A25" s="89"/>
      <c r="B25" s="89"/>
      <c r="C25" s="89"/>
      <c r="D25" s="89"/>
      <c r="E25" s="102"/>
      <c r="F25" s="103"/>
      <c r="G25" s="102"/>
      <c r="H25" s="103"/>
      <c r="I25" s="102"/>
      <c r="J25" s="103"/>
    </row>
    <row r="26" spans="1:10" ht="21" customHeight="1">
      <c r="A26" s="89"/>
      <c r="B26" s="89"/>
      <c r="C26" s="89"/>
      <c r="D26" s="89"/>
      <c r="E26" s="102"/>
      <c r="F26" s="103"/>
      <c r="G26" s="102"/>
      <c r="H26" s="103"/>
      <c r="I26" s="102"/>
      <c r="J26" s="103"/>
    </row>
    <row r="27" spans="1:10" ht="21" customHeight="1">
      <c r="A27" s="43"/>
      <c r="B27" s="43"/>
      <c r="C27" s="43"/>
      <c r="D27" s="43"/>
      <c r="E27" s="132"/>
      <c r="F27" s="133"/>
      <c r="G27" s="132"/>
      <c r="H27" s="133"/>
      <c r="I27" s="132"/>
      <c r="J27" s="133"/>
    </row>
    <row r="28" spans="1:10" ht="12.75">
      <c r="A28" s="44"/>
      <c r="B28" s="44"/>
      <c r="C28" s="44"/>
      <c r="D28" s="44"/>
      <c r="E28" s="134"/>
      <c r="F28" s="135"/>
      <c r="G28" s="134"/>
      <c r="H28" s="135"/>
      <c r="I28" s="134"/>
      <c r="J28" s="135"/>
    </row>
    <row r="29" spans="1:10" ht="12.75">
      <c r="A29" s="44"/>
      <c r="B29" s="44"/>
      <c r="C29" s="44"/>
      <c r="D29" s="44"/>
      <c r="E29" s="134"/>
      <c r="F29" s="135"/>
      <c r="G29" s="134"/>
      <c r="H29" s="135"/>
      <c r="I29" s="134"/>
      <c r="J29" s="135"/>
    </row>
    <row r="30" spans="1:10" ht="12.75">
      <c r="A30" s="44"/>
      <c r="B30" s="44"/>
      <c r="C30" s="44"/>
      <c r="D30" s="44"/>
      <c r="E30" s="134"/>
      <c r="F30" s="135"/>
      <c r="G30" s="134"/>
      <c r="H30" s="135"/>
      <c r="I30" s="134"/>
      <c r="J30" s="135"/>
    </row>
    <row r="31" spans="5:10" ht="12.75">
      <c r="E31" s="134"/>
      <c r="F31" s="135"/>
      <c r="G31" s="134"/>
      <c r="H31" s="135"/>
      <c r="I31" s="134"/>
      <c r="J31" s="135"/>
    </row>
    <row r="32" spans="5:10" ht="12.75">
      <c r="E32" s="134"/>
      <c r="F32" s="135"/>
      <c r="G32" s="134"/>
      <c r="H32" s="135"/>
      <c r="I32" s="134"/>
      <c r="J32" s="135"/>
    </row>
    <row r="33" spans="5:10" ht="12.75">
      <c r="E33" s="134"/>
      <c r="F33" s="135"/>
      <c r="G33" s="134"/>
      <c r="H33" s="135"/>
      <c r="I33" s="134"/>
      <c r="J33" s="135"/>
    </row>
    <row r="34" spans="5:10" ht="12.75">
      <c r="E34" s="134"/>
      <c r="F34" s="135"/>
      <c r="G34" s="134"/>
      <c r="H34" s="135"/>
      <c r="I34" s="134"/>
      <c r="J34" s="135"/>
    </row>
    <row r="35" spans="5:10" ht="12.75">
      <c r="E35" s="134"/>
      <c r="F35" s="135"/>
      <c r="G35" s="134"/>
      <c r="H35" s="135"/>
      <c r="I35" s="134"/>
      <c r="J35" s="135"/>
    </row>
    <row r="36" spans="5:10" ht="12.75">
      <c r="E36" s="134"/>
      <c r="F36" s="135"/>
      <c r="G36" s="134"/>
      <c r="H36" s="135"/>
      <c r="I36" s="134"/>
      <c r="J36" s="135"/>
    </row>
    <row r="37" spans="5:10" ht="12.75">
      <c r="E37" s="134"/>
      <c r="F37" s="135"/>
      <c r="G37" s="134"/>
      <c r="H37" s="135"/>
      <c r="I37" s="134"/>
      <c r="J37" s="135"/>
    </row>
    <row r="38" spans="5:10" ht="12.75">
      <c r="E38" s="134"/>
      <c r="F38" s="135"/>
      <c r="G38" s="134"/>
      <c r="H38" s="135"/>
      <c r="I38" s="134"/>
      <c r="J38" s="135"/>
    </row>
    <row r="39" spans="5:10" ht="12.75">
      <c r="E39" s="134"/>
      <c r="F39" s="135"/>
      <c r="G39" s="134"/>
      <c r="H39" s="135"/>
      <c r="I39" s="134"/>
      <c r="J39" s="135"/>
    </row>
    <row r="40" spans="5:10" ht="12.75">
      <c r="E40" s="134"/>
      <c r="F40" s="135"/>
      <c r="G40" s="134"/>
      <c r="H40" s="135"/>
      <c r="I40" s="134"/>
      <c r="J40" s="135"/>
    </row>
    <row r="41" spans="5:10" ht="12.75">
      <c r="E41" s="134"/>
      <c r="F41" s="135"/>
      <c r="G41" s="134"/>
      <c r="H41" s="135"/>
      <c r="I41" s="134"/>
      <c r="J41" s="135"/>
    </row>
    <row r="42" spans="5:10" ht="12.75">
      <c r="E42" s="134"/>
      <c r="F42" s="135"/>
      <c r="G42" s="134"/>
      <c r="H42" s="135"/>
      <c r="I42" s="134"/>
      <c r="J42" s="135"/>
    </row>
    <row r="43" spans="5:10" ht="12.75">
      <c r="E43" s="134"/>
      <c r="F43" s="135"/>
      <c r="G43" s="134"/>
      <c r="H43" s="135"/>
      <c r="I43" s="134"/>
      <c r="J43" s="135"/>
    </row>
    <row r="44" spans="5:10" ht="12.75">
      <c r="E44" s="134"/>
      <c r="F44" s="135"/>
      <c r="G44" s="134"/>
      <c r="H44" s="135"/>
      <c r="I44" s="134"/>
      <c r="J44" s="135"/>
    </row>
    <row r="45" spans="5:10" ht="12.75">
      <c r="E45" s="134"/>
      <c r="F45" s="135"/>
      <c r="G45" s="134"/>
      <c r="H45" s="135"/>
      <c r="I45" s="134"/>
      <c r="J45" s="135"/>
    </row>
    <row r="46" spans="5:10" ht="12.75">
      <c r="E46" s="134"/>
      <c r="F46" s="135"/>
      <c r="G46" s="134"/>
      <c r="H46" s="135"/>
      <c r="I46" s="134"/>
      <c r="J46" s="135"/>
    </row>
    <row r="47" spans="5:10" ht="12.75">
      <c r="E47" s="134"/>
      <c r="F47" s="135"/>
      <c r="G47" s="134"/>
      <c r="H47" s="135"/>
      <c r="I47" s="134"/>
      <c r="J47" s="135"/>
    </row>
    <row r="48" spans="5:10" ht="12.75">
      <c r="E48" s="134"/>
      <c r="F48" s="135"/>
      <c r="G48" s="134"/>
      <c r="H48" s="135"/>
      <c r="I48" s="134"/>
      <c r="J48" s="135"/>
    </row>
    <row r="49" spans="5:10" ht="12.75">
      <c r="E49" s="134"/>
      <c r="F49" s="135"/>
      <c r="G49" s="134"/>
      <c r="H49" s="135"/>
      <c r="I49" s="134"/>
      <c r="J49" s="135"/>
    </row>
    <row r="50" spans="5:10" ht="12.75">
      <c r="E50" s="134"/>
      <c r="F50" s="44"/>
      <c r="G50" s="134"/>
      <c r="H50" s="44"/>
      <c r="I50" s="134"/>
      <c r="J50" s="44"/>
    </row>
    <row r="51" spans="5:10" ht="12.75">
      <c r="E51" s="134"/>
      <c r="F51" s="44"/>
      <c r="G51" s="134"/>
      <c r="H51" s="44"/>
      <c r="I51" s="134"/>
      <c r="J51" s="44"/>
    </row>
  </sheetData>
  <sheetProtection/>
  <mergeCells count="1">
    <mergeCell ref="F2:G2"/>
  </mergeCells>
  <printOptions/>
  <pageMargins left="0.25" right="0" top="1" bottom="0" header="0.5" footer="0"/>
  <pageSetup horizontalDpi="300" verticalDpi="300" orientation="landscape" r:id="rId1"/>
  <headerFooter alignWithMargins="0">
    <oddHeader>&amp;RPage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J59"/>
  <sheetViews>
    <sheetView zoomScalePageLayoutView="0" workbookViewId="0" topLeftCell="A19">
      <selection activeCell="C10" sqref="C10"/>
    </sheetView>
  </sheetViews>
  <sheetFormatPr defaultColWidth="8.8515625" defaultRowHeight="12.75"/>
  <cols>
    <col min="1" max="1" width="9.57421875" style="45" bestFit="1" customWidth="1"/>
    <col min="2" max="2" width="44.7109375" style="45" bestFit="1" customWidth="1"/>
    <col min="3" max="3" width="9.8515625" style="45" customWidth="1"/>
    <col min="4" max="4" width="9.00390625" style="45" customWidth="1"/>
    <col min="5" max="5" width="7.28125" style="136" customWidth="1"/>
    <col min="6" max="6" width="10.28125" style="45" customWidth="1"/>
    <col min="7" max="7" width="7.28125" style="136" customWidth="1"/>
    <col min="8" max="8" width="14.00390625" style="45" bestFit="1" customWidth="1"/>
    <col min="9" max="9" width="7.28125" style="136" customWidth="1"/>
    <col min="10" max="10" width="10.28125" style="45" customWidth="1"/>
    <col min="11" max="16384" width="8.8515625" style="45" customWidth="1"/>
  </cols>
  <sheetData>
    <row r="1" spans="1:9" ht="12.75">
      <c r="A1" s="166" t="s">
        <v>446</v>
      </c>
      <c r="B1" s="195">
        <f>Spread!B1</f>
        <v>0</v>
      </c>
      <c r="C1" s="165" t="s">
        <v>370</v>
      </c>
      <c r="D1" s="196" t="e">
        <f>Spread!#REF!</f>
        <v>#REF!</v>
      </c>
      <c r="E1"/>
      <c r="F1" s="165" t="s">
        <v>371</v>
      </c>
      <c r="G1" s="51"/>
      <c r="H1" s="170" t="e">
        <f>Spread!#REF!</f>
        <v>#REF!</v>
      </c>
      <c r="I1" s="45"/>
    </row>
    <row r="2" spans="1:9" ht="12.75">
      <c r="A2" s="166"/>
      <c r="B2" s="195" t="e">
        <f>Spread!#REF!</f>
        <v>#REF!</v>
      </c>
      <c r="C2" s="51"/>
      <c r="D2" s="51"/>
      <c r="E2"/>
      <c r="F2" s="476" t="s">
        <v>447</v>
      </c>
      <c r="G2" s="476"/>
      <c r="H2" s="197" t="e">
        <f>Spread!#REF!</f>
        <v>#REF!</v>
      </c>
      <c r="I2" s="45"/>
    </row>
    <row r="3" spans="1:9" ht="12.75" customHeight="1">
      <c r="A3" s="168"/>
      <c r="B3" s="195">
        <f>Spread!B3</f>
        <v>0</v>
      </c>
      <c r="C3" s="165" t="s">
        <v>445</v>
      </c>
      <c r="D3" s="51" t="e">
        <f>Spread!#REF!</f>
        <v>#REF!</v>
      </c>
      <c r="E3" s="51"/>
      <c r="F3" s="51"/>
      <c r="G3" s="51"/>
      <c r="H3" s="51"/>
      <c r="I3" s="118"/>
    </row>
    <row r="4" spans="2:9" ht="12" customHeight="1">
      <c r="B4" s="119"/>
      <c r="E4" s="45"/>
      <c r="G4" s="45"/>
      <c r="I4" s="45"/>
    </row>
    <row r="5" spans="1:10" ht="12.75" customHeight="1">
      <c r="A5" s="120" t="s">
        <v>7</v>
      </c>
      <c r="B5" s="120" t="s">
        <v>0</v>
      </c>
      <c r="C5" s="120" t="s">
        <v>8</v>
      </c>
      <c r="D5" s="120" t="s">
        <v>9</v>
      </c>
      <c r="E5" s="173" t="s">
        <v>2</v>
      </c>
      <c r="F5" s="174"/>
      <c r="G5" s="121" t="s">
        <v>1</v>
      </c>
      <c r="H5" s="122"/>
      <c r="I5" s="121" t="s">
        <v>10</v>
      </c>
      <c r="J5" s="122"/>
    </row>
    <row r="6" spans="1:10" ht="12.75" customHeight="1" thickBot="1">
      <c r="A6" s="123"/>
      <c r="B6" s="123"/>
      <c r="C6" s="123"/>
      <c r="D6" s="123"/>
      <c r="E6" s="124" t="s">
        <v>11</v>
      </c>
      <c r="F6" s="123" t="s">
        <v>12</v>
      </c>
      <c r="G6" s="124" t="s">
        <v>11</v>
      </c>
      <c r="H6" s="123" t="s">
        <v>12</v>
      </c>
      <c r="I6" s="124" t="s">
        <v>13</v>
      </c>
      <c r="J6" s="123" t="s">
        <v>12</v>
      </c>
    </row>
    <row r="7" spans="1:10" ht="21" customHeight="1" thickTop="1">
      <c r="A7" s="38"/>
      <c r="B7" s="110" t="s">
        <v>21</v>
      </c>
      <c r="C7" s="38"/>
      <c r="D7" s="163" t="s">
        <v>643</v>
      </c>
      <c r="E7" s="46"/>
      <c r="F7" s="40"/>
      <c r="G7" s="46"/>
      <c r="H7" s="40"/>
      <c r="I7" s="46"/>
      <c r="J7" s="40"/>
    </row>
    <row r="8" spans="1:10" ht="21" customHeight="1">
      <c r="A8" s="128"/>
      <c r="B8" s="100" t="s">
        <v>592</v>
      </c>
      <c r="C8" s="38"/>
      <c r="D8" s="100" t="s">
        <v>16</v>
      </c>
      <c r="E8" s="46"/>
      <c r="F8" s="40">
        <f aca="true" t="shared" si="0" ref="F8:F15">C8*E8</f>
        <v>0</v>
      </c>
      <c r="G8" s="46"/>
      <c r="H8" s="40">
        <f aca="true" t="shared" si="1" ref="H8:H15">C8*G8</f>
        <v>0</v>
      </c>
      <c r="I8" s="46">
        <v>25</v>
      </c>
      <c r="J8" s="40">
        <f aca="true" t="shared" si="2" ref="J8:J15">C8*I8</f>
        <v>0</v>
      </c>
    </row>
    <row r="9" spans="1:10" ht="21" customHeight="1">
      <c r="A9" s="128"/>
      <c r="B9" s="100" t="s">
        <v>621</v>
      </c>
      <c r="C9" s="38"/>
      <c r="D9" s="100" t="s">
        <v>15</v>
      </c>
      <c r="E9" s="46"/>
      <c r="F9" s="40">
        <f t="shared" si="0"/>
        <v>0</v>
      </c>
      <c r="G9" s="46"/>
      <c r="H9" s="40">
        <f t="shared" si="1"/>
        <v>0</v>
      </c>
      <c r="I9" s="46">
        <v>5000</v>
      </c>
      <c r="J9" s="40">
        <f t="shared" si="2"/>
        <v>0</v>
      </c>
    </row>
    <row r="10" spans="1:10" ht="21" customHeight="1">
      <c r="A10" s="128"/>
      <c r="B10" s="100" t="s">
        <v>593</v>
      </c>
      <c r="C10" s="38"/>
      <c r="D10" s="100" t="s">
        <v>16</v>
      </c>
      <c r="E10" s="46"/>
      <c r="F10" s="40">
        <f t="shared" si="0"/>
        <v>0</v>
      </c>
      <c r="G10" s="46"/>
      <c r="H10" s="40">
        <f t="shared" si="1"/>
        <v>0</v>
      </c>
      <c r="I10" s="46">
        <v>30</v>
      </c>
      <c r="J10" s="40">
        <f t="shared" si="2"/>
        <v>0</v>
      </c>
    </row>
    <row r="11" spans="1:10" ht="21" customHeight="1">
      <c r="A11" s="128"/>
      <c r="B11" s="38" t="s">
        <v>559</v>
      </c>
      <c r="C11" s="38"/>
      <c r="D11" s="38" t="s">
        <v>15</v>
      </c>
      <c r="E11" s="46"/>
      <c r="F11" s="40">
        <f t="shared" si="0"/>
        <v>0</v>
      </c>
      <c r="G11" s="46"/>
      <c r="H11" s="40">
        <f t="shared" si="1"/>
        <v>0</v>
      </c>
      <c r="I11" s="46">
        <v>1250</v>
      </c>
      <c r="J11" s="40">
        <f t="shared" si="2"/>
        <v>0</v>
      </c>
    </row>
    <row r="12" spans="1:10" ht="21" customHeight="1">
      <c r="A12" s="128"/>
      <c r="B12" s="38" t="s">
        <v>169</v>
      </c>
      <c r="C12" s="38"/>
      <c r="D12" s="38" t="s">
        <v>14</v>
      </c>
      <c r="E12" s="46"/>
      <c r="F12" s="40">
        <f t="shared" si="0"/>
        <v>0</v>
      </c>
      <c r="G12" s="46"/>
      <c r="H12" s="40">
        <f t="shared" si="1"/>
        <v>0</v>
      </c>
      <c r="I12" s="46">
        <v>1.5</v>
      </c>
      <c r="J12" s="40">
        <f t="shared" si="2"/>
        <v>0</v>
      </c>
    </row>
    <row r="13" spans="1:10" ht="21" customHeight="1">
      <c r="A13" s="128"/>
      <c r="B13" s="38" t="s">
        <v>360</v>
      </c>
      <c r="C13" s="38"/>
      <c r="D13" s="38" t="s">
        <v>15</v>
      </c>
      <c r="E13" s="46">
        <v>2200</v>
      </c>
      <c r="F13" s="40">
        <f t="shared" si="0"/>
        <v>0</v>
      </c>
      <c r="G13" s="46"/>
      <c r="H13" s="40">
        <f t="shared" si="1"/>
        <v>0</v>
      </c>
      <c r="I13" s="46">
        <v>1363</v>
      </c>
      <c r="J13" s="40">
        <f t="shared" si="2"/>
        <v>0</v>
      </c>
    </row>
    <row r="14" spans="1:10" ht="21" customHeight="1">
      <c r="A14" s="128"/>
      <c r="B14" s="38" t="s">
        <v>548</v>
      </c>
      <c r="C14" s="38"/>
      <c r="D14" s="38" t="s">
        <v>15</v>
      </c>
      <c r="E14" s="46"/>
      <c r="F14" s="40">
        <f>C14*E14</f>
        <v>0</v>
      </c>
      <c r="G14" s="46">
        <v>125</v>
      </c>
      <c r="H14" s="40">
        <f>C14*G14</f>
        <v>0</v>
      </c>
      <c r="I14" s="46">
        <v>0</v>
      </c>
      <c r="J14" s="40">
        <f>C14*I14</f>
        <v>0</v>
      </c>
    </row>
    <row r="15" spans="1:10" ht="21" customHeight="1" thickBot="1">
      <c r="A15" s="128"/>
      <c r="B15" s="38" t="s">
        <v>231</v>
      </c>
      <c r="C15" s="38"/>
      <c r="D15" s="38" t="s">
        <v>230</v>
      </c>
      <c r="E15" s="46"/>
      <c r="F15" s="40">
        <f t="shared" si="0"/>
        <v>0</v>
      </c>
      <c r="G15" s="46"/>
      <c r="H15" s="40">
        <f t="shared" si="1"/>
        <v>0</v>
      </c>
      <c r="I15" s="46">
        <v>5000</v>
      </c>
      <c r="J15" s="40">
        <f t="shared" si="2"/>
        <v>0</v>
      </c>
    </row>
    <row r="16" spans="1:10" ht="21" customHeight="1" thickTop="1">
      <c r="A16" s="38"/>
      <c r="B16" s="38"/>
      <c r="C16" s="38"/>
      <c r="D16" s="38"/>
      <c r="E16" s="90"/>
      <c r="F16" s="104">
        <f>SUM(F8:F15)</f>
        <v>0</v>
      </c>
      <c r="G16" s="90"/>
      <c r="H16" s="104">
        <f>SUM(H8:H15)</f>
        <v>0</v>
      </c>
      <c r="I16" s="90"/>
      <c r="J16" s="104">
        <f>SUM(J8:J15)</f>
        <v>0</v>
      </c>
    </row>
    <row r="17" spans="1:10" ht="21" customHeight="1">
      <c r="A17" s="38"/>
      <c r="B17" s="231" t="s">
        <v>467</v>
      </c>
      <c r="C17" s="233">
        <f>SUM(F16,H16,J16)</f>
        <v>0</v>
      </c>
      <c r="D17" s="38"/>
      <c r="E17" s="46"/>
      <c r="F17" s="40"/>
      <c r="G17" s="46"/>
      <c r="H17" s="40"/>
      <c r="I17" s="46"/>
      <c r="J17" s="40"/>
    </row>
    <row r="18" spans="1:10" ht="21" customHeight="1">
      <c r="A18" s="38"/>
      <c r="B18" s="113" t="s">
        <v>22</v>
      </c>
      <c r="C18" s="38"/>
      <c r="D18" s="38"/>
      <c r="E18" s="46"/>
      <c r="F18" s="40"/>
      <c r="G18" s="46"/>
      <c r="H18" s="40"/>
      <c r="I18" s="46"/>
      <c r="J18" s="40"/>
    </row>
    <row r="19" spans="1:10" ht="12" customHeight="1">
      <c r="A19" s="89"/>
      <c r="B19" s="89"/>
      <c r="C19" s="89"/>
      <c r="D19" s="89"/>
      <c r="E19" s="102"/>
      <c r="F19" s="103"/>
      <c r="G19" s="102"/>
      <c r="H19" s="103"/>
      <c r="I19" s="102"/>
      <c r="J19" s="103"/>
    </row>
    <row r="20" spans="1:10" ht="21" customHeight="1">
      <c r="A20" s="38"/>
      <c r="B20" s="110" t="s">
        <v>130</v>
      </c>
      <c r="C20" s="38"/>
      <c r="D20" s="38"/>
      <c r="E20" s="46"/>
      <c r="F20" s="40"/>
      <c r="G20" s="46"/>
      <c r="H20" s="40"/>
      <c r="I20" s="46"/>
      <c r="J20" s="40"/>
    </row>
    <row r="21" spans="1:10" ht="21" customHeight="1" thickBot="1">
      <c r="A21" s="128"/>
      <c r="B21" s="38"/>
      <c r="C21" s="38"/>
      <c r="D21" s="38" t="s">
        <v>14</v>
      </c>
      <c r="E21" s="46"/>
      <c r="F21" s="40">
        <f>C21*E21</f>
        <v>0</v>
      </c>
      <c r="G21" s="46"/>
      <c r="H21" s="40">
        <f>C21*G21</f>
        <v>0</v>
      </c>
      <c r="I21" s="46">
        <v>10</v>
      </c>
      <c r="J21" s="40">
        <f>C21*I21</f>
        <v>0</v>
      </c>
    </row>
    <row r="22" spans="1:10" ht="21" customHeight="1" thickTop="1">
      <c r="A22" s="38"/>
      <c r="B22" s="38"/>
      <c r="C22" s="38"/>
      <c r="D22" s="38"/>
      <c r="E22" s="90"/>
      <c r="F22" s="104">
        <f>SUM(F21:F21)</f>
        <v>0</v>
      </c>
      <c r="G22" s="90"/>
      <c r="H22" s="104">
        <f>SUM(H21:H21)</f>
        <v>0</v>
      </c>
      <c r="I22" s="90"/>
      <c r="J22" s="139">
        <f>+J21</f>
        <v>0</v>
      </c>
    </row>
    <row r="23" spans="1:10" ht="21" customHeight="1">
      <c r="A23" s="38"/>
      <c r="B23" s="231" t="s">
        <v>468</v>
      </c>
      <c r="C23" s="233">
        <f>SUM(F22,H22,J22)</f>
        <v>0</v>
      </c>
      <c r="D23" s="38"/>
      <c r="E23" s="46"/>
      <c r="F23" s="40"/>
      <c r="G23" s="46"/>
      <c r="H23" s="40"/>
      <c r="I23" s="46"/>
      <c r="J23" s="40"/>
    </row>
    <row r="24" spans="1:10" ht="12" customHeight="1">
      <c r="A24" s="89"/>
      <c r="B24" s="89"/>
      <c r="C24" s="89"/>
      <c r="D24" s="89"/>
      <c r="E24" s="102"/>
      <c r="F24" s="103"/>
      <c r="G24" s="102"/>
      <c r="H24" s="103"/>
      <c r="I24" s="102"/>
      <c r="J24" s="103"/>
    </row>
    <row r="25" spans="1:10" ht="21" customHeight="1">
      <c r="A25" s="38"/>
      <c r="B25" s="137" t="s">
        <v>596</v>
      </c>
      <c r="C25" s="38"/>
      <c r="D25" s="38"/>
      <c r="E25" s="46"/>
      <c r="F25" s="40"/>
      <c r="G25" s="46"/>
      <c r="H25" s="40"/>
      <c r="I25" s="46"/>
      <c r="J25" s="40"/>
    </row>
    <row r="26" spans="1:10" ht="21" customHeight="1">
      <c r="A26" s="38"/>
      <c r="B26" s="38" t="s">
        <v>597</v>
      </c>
      <c r="C26" s="40"/>
      <c r="D26" s="38" t="s">
        <v>15</v>
      </c>
      <c r="E26" s="46">
        <v>45</v>
      </c>
      <c r="F26" s="40">
        <f>C26*E26</f>
        <v>0</v>
      </c>
      <c r="G26" s="46">
        <v>75</v>
      </c>
      <c r="H26" s="40">
        <f>C26*G26</f>
        <v>0</v>
      </c>
      <c r="I26" s="46"/>
      <c r="J26" s="40">
        <f>C26*I26</f>
        <v>0</v>
      </c>
    </row>
    <row r="27" spans="1:10" ht="21" customHeight="1">
      <c r="A27" s="38"/>
      <c r="B27" s="38" t="s">
        <v>301</v>
      </c>
      <c r="C27" s="40"/>
      <c r="D27" s="38" t="s">
        <v>16</v>
      </c>
      <c r="E27" s="46">
        <v>6</v>
      </c>
      <c r="F27" s="40">
        <f>C27*E27</f>
        <v>0</v>
      </c>
      <c r="G27" s="46">
        <v>30</v>
      </c>
      <c r="H27" s="40">
        <f>C27*G27</f>
        <v>0</v>
      </c>
      <c r="I27" s="46"/>
      <c r="J27" s="40">
        <f>C27*I27</f>
        <v>0</v>
      </c>
    </row>
    <row r="28" spans="1:10" ht="21" customHeight="1">
      <c r="A28" s="38"/>
      <c r="B28" s="38" t="s">
        <v>302</v>
      </c>
      <c r="C28" s="40"/>
      <c r="D28" s="38" t="s">
        <v>16</v>
      </c>
      <c r="E28" s="46">
        <v>6</v>
      </c>
      <c r="F28" s="40">
        <f>C28*E28</f>
        <v>0</v>
      </c>
      <c r="G28" s="46">
        <v>20</v>
      </c>
      <c r="H28" s="40">
        <f>C28*G28</f>
        <v>0</v>
      </c>
      <c r="I28" s="46"/>
      <c r="J28" s="40">
        <f>C28*I28</f>
        <v>0</v>
      </c>
    </row>
    <row r="29" spans="1:10" ht="21" customHeight="1" thickBot="1">
      <c r="A29" s="38"/>
      <c r="B29" s="38" t="s">
        <v>303</v>
      </c>
      <c r="C29" s="40"/>
      <c r="D29" s="38" t="s">
        <v>16</v>
      </c>
      <c r="E29" s="46">
        <v>8</v>
      </c>
      <c r="F29" s="40">
        <f>C29*E29</f>
        <v>0</v>
      </c>
      <c r="G29" s="46">
        <v>25</v>
      </c>
      <c r="H29" s="40">
        <f>C29*G29</f>
        <v>0</v>
      </c>
      <c r="I29" s="46"/>
      <c r="J29" s="40">
        <f>C29*I29</f>
        <v>0</v>
      </c>
    </row>
    <row r="30" spans="1:10" ht="21" customHeight="1" thickTop="1">
      <c r="A30" s="38"/>
      <c r="B30" s="38"/>
      <c r="C30" s="38"/>
      <c r="D30" s="38"/>
      <c r="E30" s="90"/>
      <c r="F30" s="104">
        <f>SUM(F26:F29)</f>
        <v>0</v>
      </c>
      <c r="G30" s="90"/>
      <c r="H30" s="104">
        <f>SUM(H26:H29)</f>
        <v>0</v>
      </c>
      <c r="I30" s="90"/>
      <c r="J30" s="104">
        <f>SUM(J26:J29)</f>
        <v>0</v>
      </c>
    </row>
    <row r="31" spans="1:10" ht="21" customHeight="1">
      <c r="A31" s="38"/>
      <c r="B31" s="231" t="s">
        <v>469</v>
      </c>
      <c r="C31" s="236">
        <f>F30+H30+J30</f>
        <v>0</v>
      </c>
      <c r="D31" s="38"/>
      <c r="E31" s="46"/>
      <c r="F31" s="40"/>
      <c r="G31" s="46"/>
      <c r="H31" s="40"/>
      <c r="I31" s="46"/>
      <c r="J31" s="40"/>
    </row>
    <row r="32" spans="1:10" ht="21" customHeight="1">
      <c r="A32" s="89"/>
      <c r="B32" s="89"/>
      <c r="C32" s="89"/>
      <c r="D32" s="89"/>
      <c r="E32" s="102"/>
      <c r="F32" s="103"/>
      <c r="G32" s="102"/>
      <c r="H32" s="103"/>
      <c r="I32" s="102"/>
      <c r="J32" s="103"/>
    </row>
    <row r="33" spans="1:10" ht="21" customHeight="1">
      <c r="A33" s="89"/>
      <c r="B33" s="89"/>
      <c r="C33" s="89"/>
      <c r="D33" s="89"/>
      <c r="E33" s="102"/>
      <c r="F33" s="103"/>
      <c r="G33" s="102"/>
      <c r="H33" s="103"/>
      <c r="I33" s="102"/>
      <c r="J33" s="103"/>
    </row>
    <row r="34" spans="1:10" ht="21" customHeight="1">
      <c r="A34" s="89"/>
      <c r="B34" s="89"/>
      <c r="C34" s="89"/>
      <c r="D34" s="89"/>
      <c r="E34" s="102"/>
      <c r="F34" s="103"/>
      <c r="G34" s="102"/>
      <c r="H34" s="103"/>
      <c r="I34" s="102"/>
      <c r="J34" s="103"/>
    </row>
    <row r="35" spans="1:10" ht="21" customHeight="1">
      <c r="A35" s="43"/>
      <c r="B35" s="43"/>
      <c r="C35" s="43"/>
      <c r="D35" s="43"/>
      <c r="E35" s="132"/>
      <c r="F35" s="133"/>
      <c r="G35" s="132"/>
      <c r="H35" s="133"/>
      <c r="I35" s="132"/>
      <c r="J35" s="133"/>
    </row>
    <row r="36" spans="1:10" ht="12.75">
      <c r="A36" s="44"/>
      <c r="B36" s="44"/>
      <c r="C36" s="44"/>
      <c r="D36" s="44"/>
      <c r="E36" s="134"/>
      <c r="F36" s="135"/>
      <c r="G36" s="134"/>
      <c r="H36" s="135"/>
      <c r="I36" s="134"/>
      <c r="J36" s="135"/>
    </row>
    <row r="37" spans="1:10" ht="12.75">
      <c r="A37" s="44"/>
      <c r="B37" s="44"/>
      <c r="C37" s="44"/>
      <c r="D37" s="44"/>
      <c r="E37" s="134"/>
      <c r="F37" s="135"/>
      <c r="G37" s="134"/>
      <c r="H37" s="135"/>
      <c r="I37" s="134"/>
      <c r="J37" s="135"/>
    </row>
    <row r="38" spans="1:10" ht="12.75">
      <c r="A38" s="44"/>
      <c r="B38" s="44"/>
      <c r="C38" s="44"/>
      <c r="D38" s="44"/>
      <c r="E38" s="134"/>
      <c r="F38" s="135"/>
      <c r="G38" s="134"/>
      <c r="H38" s="135"/>
      <c r="I38" s="134"/>
      <c r="J38" s="135"/>
    </row>
    <row r="39" spans="5:10" ht="12.75">
      <c r="E39" s="134"/>
      <c r="F39" s="135"/>
      <c r="G39" s="134"/>
      <c r="H39" s="135"/>
      <c r="I39" s="134"/>
      <c r="J39" s="135"/>
    </row>
    <row r="40" spans="5:10" ht="12.75">
      <c r="E40" s="134"/>
      <c r="F40" s="135"/>
      <c r="G40" s="134"/>
      <c r="H40" s="135"/>
      <c r="I40" s="134"/>
      <c r="J40" s="135"/>
    </row>
    <row r="41" spans="5:10" ht="12.75">
      <c r="E41" s="134"/>
      <c r="F41" s="135"/>
      <c r="G41" s="134"/>
      <c r="H41" s="135"/>
      <c r="I41" s="134"/>
      <c r="J41" s="135"/>
    </row>
    <row r="42" spans="5:10" ht="12.75">
      <c r="E42" s="134"/>
      <c r="F42" s="135"/>
      <c r="G42" s="134"/>
      <c r="H42" s="135"/>
      <c r="I42" s="134"/>
      <c r="J42" s="135"/>
    </row>
    <row r="43" spans="5:10" ht="12.75">
      <c r="E43" s="134"/>
      <c r="F43" s="135"/>
      <c r="G43" s="134"/>
      <c r="H43" s="135"/>
      <c r="I43" s="134"/>
      <c r="J43" s="135"/>
    </row>
    <row r="44" spans="5:10" ht="12.75">
      <c r="E44" s="134"/>
      <c r="F44" s="135"/>
      <c r="G44" s="134"/>
      <c r="H44" s="135"/>
      <c r="I44" s="134"/>
      <c r="J44" s="135"/>
    </row>
    <row r="45" spans="5:10" ht="12.75">
      <c r="E45" s="134"/>
      <c r="F45" s="135"/>
      <c r="G45" s="134"/>
      <c r="H45" s="135"/>
      <c r="I45" s="134"/>
      <c r="J45" s="135"/>
    </row>
    <row r="46" spans="5:10" ht="12.75">
      <c r="E46" s="134"/>
      <c r="F46" s="135"/>
      <c r="G46" s="134"/>
      <c r="H46" s="135"/>
      <c r="I46" s="134"/>
      <c r="J46" s="135"/>
    </row>
    <row r="47" spans="5:10" ht="12.75">
      <c r="E47" s="134"/>
      <c r="F47" s="135"/>
      <c r="G47" s="134"/>
      <c r="H47" s="135"/>
      <c r="I47" s="134"/>
      <c r="J47" s="135"/>
    </row>
    <row r="48" spans="5:10" ht="12.75">
      <c r="E48" s="134"/>
      <c r="F48" s="135"/>
      <c r="G48" s="134"/>
      <c r="H48" s="135"/>
      <c r="I48" s="134"/>
      <c r="J48" s="135"/>
    </row>
    <row r="49" spans="5:10" ht="12.75">
      <c r="E49" s="134"/>
      <c r="F49" s="135"/>
      <c r="G49" s="134"/>
      <c r="H49" s="135"/>
      <c r="I49" s="134"/>
      <c r="J49" s="135"/>
    </row>
    <row r="50" spans="5:10" ht="12.75">
      <c r="E50" s="134"/>
      <c r="F50" s="135"/>
      <c r="G50" s="134"/>
      <c r="H50" s="135"/>
      <c r="I50" s="134"/>
      <c r="J50" s="135"/>
    </row>
    <row r="51" spans="5:10" ht="12.75">
      <c r="E51" s="134"/>
      <c r="F51" s="135"/>
      <c r="G51" s="134"/>
      <c r="H51" s="135"/>
      <c r="I51" s="134"/>
      <c r="J51" s="135"/>
    </row>
    <row r="52" spans="5:10" ht="12.75">
      <c r="E52" s="134"/>
      <c r="F52" s="135"/>
      <c r="G52" s="134"/>
      <c r="H52" s="135"/>
      <c r="I52" s="134"/>
      <c r="J52" s="135"/>
    </row>
    <row r="53" spans="5:10" ht="12.75">
      <c r="E53" s="134"/>
      <c r="F53" s="135"/>
      <c r="G53" s="134"/>
      <c r="H53" s="135"/>
      <c r="I53" s="134"/>
      <c r="J53" s="135"/>
    </row>
    <row r="54" spans="5:10" ht="12.75">
      <c r="E54" s="134"/>
      <c r="F54" s="135"/>
      <c r="G54" s="134"/>
      <c r="H54" s="135"/>
      <c r="I54" s="134"/>
      <c r="J54" s="135"/>
    </row>
    <row r="55" spans="5:10" ht="12.75">
      <c r="E55" s="134"/>
      <c r="F55" s="135"/>
      <c r="G55" s="134"/>
      <c r="H55" s="135"/>
      <c r="I55" s="134"/>
      <c r="J55" s="135"/>
    </row>
    <row r="56" spans="5:10" ht="12.75">
      <c r="E56" s="134"/>
      <c r="F56" s="135"/>
      <c r="G56" s="134"/>
      <c r="H56" s="135"/>
      <c r="I56" s="134"/>
      <c r="J56" s="135"/>
    </row>
    <row r="57" spans="5:10" ht="12.75">
      <c r="E57" s="134"/>
      <c r="F57" s="135"/>
      <c r="G57" s="134"/>
      <c r="H57" s="135"/>
      <c r="I57" s="134"/>
      <c r="J57" s="135"/>
    </row>
    <row r="58" spans="5:10" ht="12.75">
      <c r="E58" s="134"/>
      <c r="F58" s="44"/>
      <c r="G58" s="134"/>
      <c r="H58" s="44"/>
      <c r="I58" s="134"/>
      <c r="J58" s="44"/>
    </row>
    <row r="59" spans="5:10" ht="12.75">
      <c r="E59" s="134"/>
      <c r="F59" s="44"/>
      <c r="G59" s="134"/>
      <c r="H59" s="44"/>
      <c r="I59" s="134"/>
      <c r="J59" s="44"/>
    </row>
  </sheetData>
  <sheetProtection/>
  <mergeCells count="1">
    <mergeCell ref="F2:G2"/>
  </mergeCells>
  <printOptions/>
  <pageMargins left="0.25" right="0" top="1" bottom="0" header="0.5" footer="0"/>
  <pageSetup horizontalDpi="300" verticalDpi="300" orientation="landscape" r:id="rId1"/>
  <headerFooter alignWithMargins="0">
    <oddHeader>&amp;RPage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J104"/>
  <sheetViews>
    <sheetView zoomScalePageLayoutView="0" workbookViewId="0" topLeftCell="A66">
      <selection activeCell="G65" sqref="G65"/>
    </sheetView>
  </sheetViews>
  <sheetFormatPr defaultColWidth="8.8515625" defaultRowHeight="12.75"/>
  <cols>
    <col min="1" max="1" width="9.57421875" style="45" bestFit="1" customWidth="1"/>
    <col min="2" max="2" width="44.7109375" style="45" bestFit="1" customWidth="1"/>
    <col min="3" max="3" width="10.28125" style="45" customWidth="1"/>
    <col min="4" max="4" width="9.140625" style="45" bestFit="1" customWidth="1"/>
    <col min="5" max="5" width="9.28125" style="136" customWidth="1"/>
    <col min="6" max="6" width="10.28125" style="45" customWidth="1"/>
    <col min="7" max="7" width="8.57421875" style="136" customWidth="1"/>
    <col min="8" max="8" width="14.00390625" style="45" bestFit="1" customWidth="1"/>
    <col min="9" max="9" width="7.00390625" style="136" customWidth="1"/>
    <col min="10" max="10" width="10.28125" style="45" customWidth="1"/>
    <col min="11" max="16384" width="8.8515625" style="45" customWidth="1"/>
  </cols>
  <sheetData>
    <row r="1" spans="1:9" ht="12.75">
      <c r="A1" s="166" t="s">
        <v>446</v>
      </c>
      <c r="B1" s="195">
        <f>Spread!B1</f>
        <v>0</v>
      </c>
      <c r="C1" s="165" t="s">
        <v>370</v>
      </c>
      <c r="D1" s="196" t="e">
        <f>Spread!#REF!</f>
        <v>#REF!</v>
      </c>
      <c r="E1"/>
      <c r="F1" s="165" t="s">
        <v>371</v>
      </c>
      <c r="G1" s="51"/>
      <c r="H1" s="170" t="e">
        <f>Spread!#REF!</f>
        <v>#REF!</v>
      </c>
      <c r="I1" s="45"/>
    </row>
    <row r="2" spans="1:9" ht="12.75">
      <c r="A2" s="166"/>
      <c r="B2" s="195" t="e">
        <f>Spread!#REF!</f>
        <v>#REF!</v>
      </c>
      <c r="C2" s="51"/>
      <c r="D2" s="51"/>
      <c r="E2"/>
      <c r="F2" s="476" t="s">
        <v>447</v>
      </c>
      <c r="G2" s="476"/>
      <c r="H2" s="197" t="e">
        <f>Spread!#REF!</f>
        <v>#REF!</v>
      </c>
      <c r="I2" s="45"/>
    </row>
    <row r="3" spans="1:9" ht="12.75" customHeight="1">
      <c r="A3" s="168"/>
      <c r="B3" s="195">
        <f>Spread!B3</f>
        <v>0</v>
      </c>
      <c r="C3" s="165" t="s">
        <v>445</v>
      </c>
      <c r="D3" s="51" t="e">
        <f>Spread!#REF!</f>
        <v>#REF!</v>
      </c>
      <c r="E3" s="51"/>
      <c r="F3" s="51"/>
      <c r="G3" s="51"/>
      <c r="H3" s="51"/>
      <c r="I3" s="118"/>
    </row>
    <row r="4" spans="2:9" ht="12" customHeight="1">
      <c r="B4" s="119"/>
      <c r="E4" s="45"/>
      <c r="G4" s="45"/>
      <c r="I4" s="45"/>
    </row>
    <row r="5" spans="1:10" ht="12.75" customHeight="1">
      <c r="A5" s="120" t="s">
        <v>7</v>
      </c>
      <c r="B5" s="120" t="s">
        <v>0</v>
      </c>
      <c r="C5" s="120" t="s">
        <v>8</v>
      </c>
      <c r="D5" s="120" t="s">
        <v>9</v>
      </c>
      <c r="E5" s="121" t="s">
        <v>2</v>
      </c>
      <c r="F5" s="122"/>
      <c r="G5" s="121" t="s">
        <v>1</v>
      </c>
      <c r="H5" s="122"/>
      <c r="I5" s="121" t="s">
        <v>10</v>
      </c>
      <c r="J5" s="122"/>
    </row>
    <row r="6" spans="1:10" ht="12.75" customHeight="1" thickBot="1">
      <c r="A6" s="123"/>
      <c r="B6" s="123"/>
      <c r="C6" s="123"/>
      <c r="D6" s="123"/>
      <c r="E6" s="124" t="s">
        <v>11</v>
      </c>
      <c r="F6" s="123" t="s">
        <v>12</v>
      </c>
      <c r="G6" s="124" t="s">
        <v>11</v>
      </c>
      <c r="H6" s="123" t="s">
        <v>12</v>
      </c>
      <c r="I6" s="124" t="s">
        <v>13</v>
      </c>
      <c r="J6" s="123" t="s">
        <v>12</v>
      </c>
    </row>
    <row r="7" spans="1:10" ht="21" customHeight="1" thickTop="1">
      <c r="A7" s="38"/>
      <c r="B7" s="110" t="s">
        <v>23</v>
      </c>
      <c r="C7" s="38"/>
      <c r="D7" s="38"/>
      <c r="E7" s="46"/>
      <c r="F7" s="40"/>
      <c r="G7" s="46"/>
      <c r="H7" s="40"/>
      <c r="I7" s="46"/>
      <c r="J7" s="40"/>
    </row>
    <row r="8" spans="1:10" ht="21" customHeight="1">
      <c r="A8" s="38"/>
      <c r="B8" s="290" t="s">
        <v>644</v>
      </c>
      <c r="C8" s="38"/>
      <c r="D8" s="100" t="s">
        <v>563</v>
      </c>
      <c r="E8" s="291">
        <v>45</v>
      </c>
      <c r="F8" s="40">
        <f aca="true" t="shared" si="0" ref="F8:F39">C8*E8</f>
        <v>0</v>
      </c>
      <c r="G8" s="291">
        <v>50</v>
      </c>
      <c r="H8" s="40">
        <f aca="true" t="shared" si="1" ref="H8:H39">C8*G8</f>
        <v>0</v>
      </c>
      <c r="I8" s="46"/>
      <c r="J8" s="40">
        <f aca="true" t="shared" si="2" ref="J8:J39">C8*I8</f>
        <v>0</v>
      </c>
    </row>
    <row r="9" spans="1:10" ht="21" customHeight="1">
      <c r="A9" s="38"/>
      <c r="B9" s="290" t="s">
        <v>625</v>
      </c>
      <c r="C9" s="38"/>
      <c r="D9" s="38" t="s">
        <v>563</v>
      </c>
      <c r="E9" s="292">
        <v>45</v>
      </c>
      <c r="F9" s="40">
        <f t="shared" si="0"/>
        <v>0</v>
      </c>
      <c r="G9" s="292">
        <v>35</v>
      </c>
      <c r="H9" s="40">
        <f t="shared" si="1"/>
        <v>0</v>
      </c>
      <c r="I9" s="46"/>
      <c r="J9" s="40">
        <f t="shared" si="2"/>
        <v>0</v>
      </c>
    </row>
    <row r="10" spans="1:10" ht="21" customHeight="1">
      <c r="A10" s="38"/>
      <c r="B10" s="290" t="s">
        <v>626</v>
      </c>
      <c r="C10" s="38"/>
      <c r="D10" s="38" t="s">
        <v>16</v>
      </c>
      <c r="E10" s="292">
        <v>3</v>
      </c>
      <c r="F10" s="40">
        <f t="shared" si="0"/>
        <v>0</v>
      </c>
      <c r="G10" s="292">
        <v>0.55</v>
      </c>
      <c r="H10" s="40">
        <f t="shared" si="1"/>
        <v>0</v>
      </c>
      <c r="I10" s="46"/>
      <c r="J10" s="40">
        <f t="shared" si="2"/>
        <v>0</v>
      </c>
    </row>
    <row r="11" spans="1:10" ht="21" customHeight="1">
      <c r="A11" s="38"/>
      <c r="B11" s="290" t="s">
        <v>627</v>
      </c>
      <c r="C11" s="38"/>
      <c r="D11" s="38" t="s">
        <v>563</v>
      </c>
      <c r="E11" s="292">
        <v>3</v>
      </c>
      <c r="F11" s="40">
        <f t="shared" si="0"/>
        <v>0</v>
      </c>
      <c r="G11" s="292">
        <v>0.65</v>
      </c>
      <c r="H11" s="40">
        <f t="shared" si="1"/>
        <v>0</v>
      </c>
      <c r="I11" s="46"/>
      <c r="J11" s="40">
        <f t="shared" si="2"/>
        <v>0</v>
      </c>
    </row>
    <row r="12" spans="1:10" ht="21" customHeight="1">
      <c r="A12" s="38"/>
      <c r="B12" s="290" t="s">
        <v>628</v>
      </c>
      <c r="C12" s="38"/>
      <c r="D12" s="38" t="s">
        <v>16</v>
      </c>
      <c r="E12" s="292">
        <v>3.5</v>
      </c>
      <c r="F12" s="40">
        <f t="shared" si="0"/>
        <v>0</v>
      </c>
      <c r="G12" s="292">
        <v>0.85</v>
      </c>
      <c r="H12" s="40">
        <f t="shared" si="1"/>
        <v>0</v>
      </c>
      <c r="I12" s="46"/>
      <c r="J12" s="40">
        <f t="shared" si="2"/>
        <v>0</v>
      </c>
    </row>
    <row r="13" spans="1:10" ht="21" customHeight="1">
      <c r="A13" s="38"/>
      <c r="B13" s="290" t="s">
        <v>629</v>
      </c>
      <c r="C13" s="38"/>
      <c r="D13" s="38" t="s">
        <v>16</v>
      </c>
      <c r="E13" s="292">
        <v>3.75</v>
      </c>
      <c r="F13" s="40">
        <f t="shared" si="0"/>
        <v>0</v>
      </c>
      <c r="G13" s="292">
        <v>1.1</v>
      </c>
      <c r="H13" s="40">
        <f t="shared" si="1"/>
        <v>0</v>
      </c>
      <c r="I13" s="46"/>
      <c r="J13" s="40">
        <f t="shared" si="2"/>
        <v>0</v>
      </c>
    </row>
    <row r="14" spans="1:10" ht="21" customHeight="1">
      <c r="A14" s="38"/>
      <c r="B14" s="290" t="s">
        <v>630</v>
      </c>
      <c r="C14" s="38"/>
      <c r="D14" s="38" t="s">
        <v>16</v>
      </c>
      <c r="E14" s="292">
        <v>4</v>
      </c>
      <c r="F14" s="40">
        <f t="shared" si="0"/>
        <v>0</v>
      </c>
      <c r="G14" s="292">
        <v>1.65</v>
      </c>
      <c r="H14" s="40">
        <f t="shared" si="1"/>
        <v>0</v>
      </c>
      <c r="I14" s="46"/>
      <c r="J14" s="40">
        <f t="shared" si="2"/>
        <v>0</v>
      </c>
    </row>
    <row r="15" spans="1:10" ht="21" customHeight="1">
      <c r="A15" s="38"/>
      <c r="B15" s="290"/>
      <c r="C15" s="38"/>
      <c r="D15" s="38" t="s">
        <v>14</v>
      </c>
      <c r="E15" s="292"/>
      <c r="F15" s="40">
        <f t="shared" si="0"/>
        <v>0</v>
      </c>
      <c r="G15" s="292"/>
      <c r="H15" s="40">
        <f t="shared" si="1"/>
        <v>0</v>
      </c>
      <c r="I15" s="46"/>
      <c r="J15" s="40">
        <f t="shared" si="2"/>
        <v>0</v>
      </c>
    </row>
    <row r="16" spans="1:10" ht="21" customHeight="1">
      <c r="A16" s="38"/>
      <c r="B16" s="290" t="s">
        <v>631</v>
      </c>
      <c r="C16" s="38"/>
      <c r="D16" s="38" t="s">
        <v>16</v>
      </c>
      <c r="E16" s="292">
        <v>3</v>
      </c>
      <c r="F16" s="40">
        <f t="shared" si="0"/>
        <v>0</v>
      </c>
      <c r="G16" s="292">
        <v>0.35</v>
      </c>
      <c r="H16" s="40">
        <f t="shared" si="1"/>
        <v>0</v>
      </c>
      <c r="I16" s="46"/>
      <c r="J16" s="40">
        <f t="shared" si="2"/>
        <v>0</v>
      </c>
    </row>
    <row r="17" spans="1:10" ht="21" customHeight="1">
      <c r="A17" s="38"/>
      <c r="B17" s="290" t="s">
        <v>632</v>
      </c>
      <c r="C17" s="38"/>
      <c r="D17" s="38" t="s">
        <v>14</v>
      </c>
      <c r="E17" s="292">
        <v>3</v>
      </c>
      <c r="F17" s="40">
        <f t="shared" si="0"/>
        <v>0</v>
      </c>
      <c r="G17" s="292">
        <v>0.4</v>
      </c>
      <c r="H17" s="40">
        <f t="shared" si="1"/>
        <v>0</v>
      </c>
      <c r="I17" s="46"/>
      <c r="J17" s="40">
        <f t="shared" si="2"/>
        <v>0</v>
      </c>
    </row>
    <row r="18" spans="1:10" ht="21" customHeight="1">
      <c r="A18" s="38"/>
      <c r="B18" s="38"/>
      <c r="C18" s="38"/>
      <c r="D18" s="38" t="s">
        <v>14</v>
      </c>
      <c r="E18" s="46">
        <v>1</v>
      </c>
      <c r="F18" s="40">
        <f t="shared" si="0"/>
        <v>0</v>
      </c>
      <c r="G18" s="46">
        <v>1.25</v>
      </c>
      <c r="H18" s="40">
        <f t="shared" si="1"/>
        <v>0</v>
      </c>
      <c r="I18" s="46"/>
      <c r="J18" s="40">
        <f t="shared" si="2"/>
        <v>0</v>
      </c>
    </row>
    <row r="19" spans="1:10" ht="21" customHeight="1">
      <c r="A19" s="38"/>
      <c r="B19" s="38"/>
      <c r="C19" s="38"/>
      <c r="D19" s="38" t="s">
        <v>14</v>
      </c>
      <c r="E19" s="46">
        <v>1</v>
      </c>
      <c r="F19" s="40">
        <f t="shared" si="0"/>
        <v>0</v>
      </c>
      <c r="G19" s="46">
        <v>1.25</v>
      </c>
      <c r="H19" s="40">
        <f t="shared" si="1"/>
        <v>0</v>
      </c>
      <c r="I19" s="46"/>
      <c r="J19" s="40">
        <f t="shared" si="2"/>
        <v>0</v>
      </c>
    </row>
    <row r="20" spans="1:10" ht="21" customHeight="1">
      <c r="A20" s="38"/>
      <c r="B20" s="38"/>
      <c r="C20" s="38"/>
      <c r="D20" s="38" t="s">
        <v>14</v>
      </c>
      <c r="E20" s="46">
        <v>1</v>
      </c>
      <c r="F20" s="40">
        <f t="shared" si="0"/>
        <v>0</v>
      </c>
      <c r="G20" s="46">
        <v>1.25</v>
      </c>
      <c r="H20" s="40">
        <f t="shared" si="1"/>
        <v>0</v>
      </c>
      <c r="I20" s="46"/>
      <c r="J20" s="40">
        <f t="shared" si="2"/>
        <v>0</v>
      </c>
    </row>
    <row r="21" spans="1:10" ht="21" customHeight="1">
      <c r="A21" s="38"/>
      <c r="B21" s="60" t="s">
        <v>574</v>
      </c>
      <c r="C21" s="38"/>
      <c r="D21" s="38" t="s">
        <v>16</v>
      </c>
      <c r="E21" s="176">
        <v>1</v>
      </c>
      <c r="F21" s="40">
        <f t="shared" si="0"/>
        <v>0</v>
      </c>
      <c r="G21" s="46">
        <v>1</v>
      </c>
      <c r="H21" s="40">
        <f t="shared" si="1"/>
        <v>0</v>
      </c>
      <c r="I21" s="46"/>
      <c r="J21" s="40">
        <f t="shared" si="2"/>
        <v>0</v>
      </c>
    </row>
    <row r="22" spans="1:10" ht="21" customHeight="1">
      <c r="A22" s="38"/>
      <c r="B22" s="38" t="s">
        <v>575</v>
      </c>
      <c r="C22" s="38"/>
      <c r="D22" s="100" t="s">
        <v>645</v>
      </c>
      <c r="E22" s="46"/>
      <c r="F22" s="40">
        <f t="shared" si="0"/>
        <v>0</v>
      </c>
      <c r="G22" s="46"/>
      <c r="H22" s="40">
        <f t="shared" si="1"/>
        <v>0</v>
      </c>
      <c r="I22" s="52">
        <v>3000</v>
      </c>
      <c r="J22" s="40">
        <f t="shared" si="2"/>
        <v>0</v>
      </c>
    </row>
    <row r="23" spans="1:10" ht="21" customHeight="1">
      <c r="A23" s="38"/>
      <c r="B23" s="38"/>
      <c r="C23" s="38"/>
      <c r="D23" s="38" t="s">
        <v>14</v>
      </c>
      <c r="E23" s="46">
        <v>1</v>
      </c>
      <c r="F23" s="40">
        <f t="shared" si="0"/>
        <v>0</v>
      </c>
      <c r="G23" s="46">
        <v>1.25</v>
      </c>
      <c r="H23" s="40">
        <f t="shared" si="1"/>
        <v>0</v>
      </c>
      <c r="I23" s="46"/>
      <c r="J23" s="40">
        <f t="shared" si="2"/>
        <v>0</v>
      </c>
    </row>
    <row r="24" spans="1:10" ht="21" customHeight="1">
      <c r="A24" s="38"/>
      <c r="B24" s="100" t="s">
        <v>599</v>
      </c>
      <c r="C24" s="38"/>
      <c r="D24" s="100" t="s">
        <v>401</v>
      </c>
      <c r="E24" s="46">
        <v>50</v>
      </c>
      <c r="F24" s="40">
        <f t="shared" si="0"/>
        <v>0</v>
      </c>
      <c r="G24" s="46"/>
      <c r="H24" s="40">
        <f t="shared" si="1"/>
        <v>0</v>
      </c>
      <c r="I24" s="46"/>
      <c r="J24" s="40">
        <f t="shared" si="2"/>
        <v>0</v>
      </c>
    </row>
    <row r="25" spans="1:10" ht="21" customHeight="1">
      <c r="A25" s="38"/>
      <c r="B25" s="38" t="s">
        <v>562</v>
      </c>
      <c r="C25" s="38"/>
      <c r="D25" s="38" t="s">
        <v>16</v>
      </c>
      <c r="E25" s="46">
        <v>8.65</v>
      </c>
      <c r="F25" s="40">
        <f t="shared" si="0"/>
        <v>0</v>
      </c>
      <c r="G25" s="46"/>
      <c r="H25" s="40">
        <f t="shared" si="1"/>
        <v>0</v>
      </c>
      <c r="I25" s="46"/>
      <c r="J25" s="40">
        <f t="shared" si="2"/>
        <v>0</v>
      </c>
    </row>
    <row r="26" spans="1:10" ht="21" customHeight="1">
      <c r="A26" s="38"/>
      <c r="B26" s="38" t="s">
        <v>177</v>
      </c>
      <c r="C26" s="38"/>
      <c r="D26" s="38" t="s">
        <v>563</v>
      </c>
      <c r="E26" s="46">
        <v>40</v>
      </c>
      <c r="F26" s="40">
        <f t="shared" si="0"/>
        <v>0</v>
      </c>
      <c r="G26" s="46"/>
      <c r="H26" s="40">
        <f t="shared" si="1"/>
        <v>0</v>
      </c>
      <c r="I26" s="46"/>
      <c r="J26" s="40">
        <f t="shared" si="2"/>
        <v>0</v>
      </c>
    </row>
    <row r="27" spans="1:10" ht="21" customHeight="1">
      <c r="A27" s="38"/>
      <c r="B27" s="38" t="s">
        <v>564</v>
      </c>
      <c r="C27" s="38"/>
      <c r="D27" s="38" t="s">
        <v>16</v>
      </c>
      <c r="E27" s="46">
        <v>8</v>
      </c>
      <c r="F27" s="40">
        <f t="shared" si="0"/>
        <v>0</v>
      </c>
      <c r="G27" s="46"/>
      <c r="H27" s="40">
        <f t="shared" si="1"/>
        <v>0</v>
      </c>
      <c r="I27" s="46"/>
      <c r="J27" s="40">
        <f t="shared" si="2"/>
        <v>0</v>
      </c>
    </row>
    <row r="28" spans="1:10" ht="21" customHeight="1">
      <c r="A28" s="38"/>
      <c r="B28" s="38" t="s">
        <v>565</v>
      </c>
      <c r="C28" s="38"/>
      <c r="D28" s="38" t="s">
        <v>563</v>
      </c>
      <c r="E28" s="46">
        <v>35</v>
      </c>
      <c r="F28" s="40">
        <f t="shared" si="0"/>
        <v>0</v>
      </c>
      <c r="G28" s="46"/>
      <c r="H28" s="40">
        <f t="shared" si="1"/>
        <v>0</v>
      </c>
      <c r="I28" s="46"/>
      <c r="J28" s="40">
        <f t="shared" si="2"/>
        <v>0</v>
      </c>
    </row>
    <row r="29" spans="1:10" ht="21" customHeight="1">
      <c r="A29" s="38"/>
      <c r="B29" s="38" t="s">
        <v>566</v>
      </c>
      <c r="C29" s="38"/>
      <c r="D29" s="38" t="s">
        <v>16</v>
      </c>
      <c r="E29" s="46">
        <v>4</v>
      </c>
      <c r="F29" s="40">
        <f t="shared" si="0"/>
        <v>0</v>
      </c>
      <c r="G29" s="46"/>
      <c r="H29" s="40">
        <f t="shared" si="1"/>
        <v>0</v>
      </c>
      <c r="I29" s="46"/>
      <c r="J29" s="40">
        <f t="shared" si="2"/>
        <v>0</v>
      </c>
    </row>
    <row r="30" spans="1:10" ht="21" customHeight="1">
      <c r="A30" s="38"/>
      <c r="B30" s="38" t="s">
        <v>567</v>
      </c>
      <c r="C30" s="38"/>
      <c r="D30" s="38" t="s">
        <v>16</v>
      </c>
      <c r="E30" s="46">
        <v>8</v>
      </c>
      <c r="F30" s="40">
        <f t="shared" si="0"/>
        <v>0</v>
      </c>
      <c r="G30" s="46"/>
      <c r="H30" s="40">
        <f t="shared" si="1"/>
        <v>0</v>
      </c>
      <c r="I30" s="46"/>
      <c r="J30" s="40">
        <f t="shared" si="2"/>
        <v>0</v>
      </c>
    </row>
    <row r="31" spans="1:10" ht="21" customHeight="1">
      <c r="A31" s="38"/>
      <c r="B31" s="38" t="s">
        <v>568</v>
      </c>
      <c r="C31" s="38"/>
      <c r="D31" s="38" t="s">
        <v>16</v>
      </c>
      <c r="E31" s="46">
        <v>8</v>
      </c>
      <c r="F31" s="40">
        <f t="shared" si="0"/>
        <v>0</v>
      </c>
      <c r="G31" s="46"/>
      <c r="H31" s="40">
        <f t="shared" si="1"/>
        <v>0</v>
      </c>
      <c r="I31" s="46"/>
      <c r="J31" s="40">
        <f t="shared" si="2"/>
        <v>0</v>
      </c>
    </row>
    <row r="32" spans="1:10" ht="21" customHeight="1">
      <c r="A32" s="38"/>
      <c r="B32" s="38" t="s">
        <v>569</v>
      </c>
      <c r="C32" s="38"/>
      <c r="D32" s="38" t="s">
        <v>14</v>
      </c>
      <c r="E32" s="46">
        <v>2</v>
      </c>
      <c r="F32" s="40">
        <f t="shared" si="0"/>
        <v>0</v>
      </c>
      <c r="G32" s="46"/>
      <c r="H32" s="40">
        <f t="shared" si="1"/>
        <v>0</v>
      </c>
      <c r="I32" s="46"/>
      <c r="J32" s="40">
        <f t="shared" si="2"/>
        <v>0</v>
      </c>
    </row>
    <row r="33" spans="1:10" ht="21" customHeight="1">
      <c r="A33" s="38"/>
      <c r="B33" s="38" t="s">
        <v>570</v>
      </c>
      <c r="C33" s="38"/>
      <c r="D33" s="38" t="s">
        <v>16</v>
      </c>
      <c r="E33" s="46">
        <v>12</v>
      </c>
      <c r="F33" s="40">
        <f t="shared" si="0"/>
        <v>0</v>
      </c>
      <c r="G33" s="46"/>
      <c r="H33" s="40">
        <f t="shared" si="1"/>
        <v>0</v>
      </c>
      <c r="I33" s="46"/>
      <c r="J33" s="40">
        <f t="shared" si="2"/>
        <v>0</v>
      </c>
    </row>
    <row r="34" spans="1:10" ht="21" customHeight="1">
      <c r="A34" s="38"/>
      <c r="B34" s="38" t="s">
        <v>571</v>
      </c>
      <c r="C34" s="38"/>
      <c r="D34" s="38" t="s">
        <v>14</v>
      </c>
      <c r="E34" s="46">
        <v>2</v>
      </c>
      <c r="F34" s="40">
        <f t="shared" si="0"/>
        <v>0</v>
      </c>
      <c r="G34" s="46"/>
      <c r="H34" s="40">
        <f t="shared" si="1"/>
        <v>0</v>
      </c>
      <c r="I34" s="46"/>
      <c r="J34" s="40">
        <f t="shared" si="2"/>
        <v>0</v>
      </c>
    </row>
    <row r="35" spans="1:10" ht="21" customHeight="1">
      <c r="A35" s="38"/>
      <c r="B35" s="38"/>
      <c r="C35" s="38"/>
      <c r="D35" s="38" t="s">
        <v>16</v>
      </c>
      <c r="E35" s="46">
        <v>3.3</v>
      </c>
      <c r="F35" s="40">
        <f t="shared" si="0"/>
        <v>0</v>
      </c>
      <c r="G35" s="46">
        <v>2</v>
      </c>
      <c r="H35" s="40">
        <f t="shared" si="1"/>
        <v>0</v>
      </c>
      <c r="I35" s="46"/>
      <c r="J35" s="40">
        <f t="shared" si="2"/>
        <v>0</v>
      </c>
    </row>
    <row r="36" spans="1:10" ht="21" customHeight="1">
      <c r="A36" s="38"/>
      <c r="B36" s="38"/>
      <c r="C36" s="38"/>
      <c r="D36" s="38" t="s">
        <v>16</v>
      </c>
      <c r="E36" s="46">
        <v>3.3</v>
      </c>
      <c r="F36" s="40">
        <f t="shared" si="0"/>
        <v>0</v>
      </c>
      <c r="G36" s="46">
        <v>3</v>
      </c>
      <c r="H36" s="40">
        <f t="shared" si="1"/>
        <v>0</v>
      </c>
      <c r="I36" s="46"/>
      <c r="J36" s="40">
        <f t="shared" si="2"/>
        <v>0</v>
      </c>
    </row>
    <row r="37" spans="1:10" ht="21" customHeight="1">
      <c r="A37" s="38"/>
      <c r="B37" s="38" t="s">
        <v>55</v>
      </c>
      <c r="C37" s="38"/>
      <c r="D37" s="38" t="s">
        <v>16</v>
      </c>
      <c r="E37" s="46">
        <v>3.3</v>
      </c>
      <c r="F37" s="40">
        <f t="shared" si="0"/>
        <v>0</v>
      </c>
      <c r="G37" s="46">
        <v>1.25</v>
      </c>
      <c r="H37" s="40">
        <f t="shared" si="1"/>
        <v>0</v>
      </c>
      <c r="I37" s="46"/>
      <c r="J37" s="40">
        <f t="shared" si="2"/>
        <v>0</v>
      </c>
    </row>
    <row r="38" spans="1:10" ht="21" customHeight="1">
      <c r="A38" s="38"/>
      <c r="B38" s="38" t="s">
        <v>208</v>
      </c>
      <c r="C38" s="38"/>
      <c r="D38" s="38" t="s">
        <v>16</v>
      </c>
      <c r="E38" s="46">
        <v>3.3</v>
      </c>
      <c r="F38" s="40">
        <f t="shared" si="0"/>
        <v>0</v>
      </c>
      <c r="G38" s="46">
        <v>1.25</v>
      </c>
      <c r="H38" s="40">
        <f t="shared" si="1"/>
        <v>0</v>
      </c>
      <c r="I38" s="46"/>
      <c r="J38" s="40">
        <f t="shared" si="2"/>
        <v>0</v>
      </c>
    </row>
    <row r="39" spans="1:10" ht="21" customHeight="1" thickBot="1">
      <c r="A39" s="38"/>
      <c r="B39" s="38" t="s">
        <v>116</v>
      </c>
      <c r="C39" s="38"/>
      <c r="D39" s="38" t="s">
        <v>16</v>
      </c>
      <c r="E39" s="102">
        <v>4</v>
      </c>
      <c r="F39" s="103">
        <f t="shared" si="0"/>
        <v>0</v>
      </c>
      <c r="G39" s="102"/>
      <c r="H39" s="103">
        <f t="shared" si="1"/>
        <v>0</v>
      </c>
      <c r="I39" s="102"/>
      <c r="J39" s="103">
        <f t="shared" si="2"/>
        <v>0</v>
      </c>
    </row>
    <row r="40" spans="1:10" ht="21" customHeight="1" thickTop="1">
      <c r="A40" s="38"/>
      <c r="B40" s="38"/>
      <c r="C40" s="38"/>
      <c r="D40" s="38"/>
      <c r="E40" s="90"/>
      <c r="F40" s="104">
        <f>SUM(F8:F39)</f>
        <v>0</v>
      </c>
      <c r="G40" s="90"/>
      <c r="H40" s="104">
        <f>SUM(H8:H39)</f>
        <v>0</v>
      </c>
      <c r="I40" s="90"/>
      <c r="J40" s="104">
        <f>SUM(J8:J39)</f>
        <v>0</v>
      </c>
    </row>
    <row r="41" spans="1:10" ht="21" customHeight="1">
      <c r="A41" s="38"/>
      <c r="B41" s="231" t="s">
        <v>470</v>
      </c>
      <c r="C41" s="233">
        <f>SUM(F40,H40,J40)</f>
        <v>0</v>
      </c>
      <c r="D41" s="38"/>
      <c r="E41" s="46"/>
      <c r="F41" s="40"/>
      <c r="G41" s="46"/>
      <c r="H41" s="40"/>
      <c r="I41" s="46"/>
      <c r="J41" s="40"/>
    </row>
    <row r="42" spans="1:10" ht="12" customHeight="1">
      <c r="A42" s="38"/>
      <c r="B42" s="71"/>
      <c r="C42" s="54"/>
      <c r="D42" s="38"/>
      <c r="E42" s="46"/>
      <c r="F42" s="40"/>
      <c r="G42" s="46"/>
      <c r="H42" s="40"/>
      <c r="I42" s="46"/>
      <c r="J42" s="40"/>
    </row>
    <row r="43" spans="1:10" ht="21" customHeight="1">
      <c r="A43" s="38"/>
      <c r="B43" s="110" t="s">
        <v>267</v>
      </c>
      <c r="C43" s="38"/>
      <c r="D43" s="38"/>
      <c r="E43" s="46"/>
      <c r="F43" s="40"/>
      <c r="G43" s="46"/>
      <c r="H43" s="40"/>
      <c r="I43" s="46"/>
      <c r="J43" s="40"/>
    </row>
    <row r="44" spans="1:10" ht="21" customHeight="1">
      <c r="A44" s="38"/>
      <c r="B44" s="59" t="s">
        <v>572</v>
      </c>
      <c r="C44" s="38"/>
      <c r="D44" s="38" t="s">
        <v>16</v>
      </c>
      <c r="E44" s="46">
        <v>5</v>
      </c>
      <c r="F44" s="40">
        <f>C44*E44</f>
        <v>0</v>
      </c>
      <c r="G44" s="46">
        <v>8</v>
      </c>
      <c r="H44" s="40">
        <f>C44*G44</f>
        <v>0</v>
      </c>
      <c r="I44" s="46">
        <v>1</v>
      </c>
      <c r="J44" s="103">
        <f>C44*I44</f>
        <v>0</v>
      </c>
    </row>
    <row r="45" spans="1:10" ht="21" customHeight="1">
      <c r="A45" s="38"/>
      <c r="B45" s="59" t="s">
        <v>573</v>
      </c>
      <c r="C45" s="38"/>
      <c r="D45" s="38" t="s">
        <v>16</v>
      </c>
      <c r="E45" s="46">
        <v>6</v>
      </c>
      <c r="F45" s="40">
        <f>C45*E45</f>
        <v>0</v>
      </c>
      <c r="G45" s="46">
        <v>12</v>
      </c>
      <c r="H45" s="40">
        <f>C45*G45</f>
        <v>0</v>
      </c>
      <c r="I45" s="46">
        <v>1.5</v>
      </c>
      <c r="J45" s="103">
        <f>C45*I45</f>
        <v>0</v>
      </c>
    </row>
    <row r="46" spans="1:10" ht="21" customHeight="1">
      <c r="A46" s="38"/>
      <c r="B46" s="59"/>
      <c r="C46" s="38"/>
      <c r="D46" s="38" t="s">
        <v>16</v>
      </c>
      <c r="E46" s="46"/>
      <c r="F46" s="40">
        <f>C46*E46</f>
        <v>0</v>
      </c>
      <c r="G46" s="46"/>
      <c r="H46" s="40">
        <f>C46*G46</f>
        <v>0</v>
      </c>
      <c r="I46" s="46"/>
      <c r="J46" s="103">
        <f>C46*I46</f>
        <v>0</v>
      </c>
    </row>
    <row r="47" spans="1:10" ht="21" customHeight="1">
      <c r="A47" s="38"/>
      <c r="B47" s="59"/>
      <c r="C47" s="38"/>
      <c r="D47" s="38" t="s">
        <v>16</v>
      </c>
      <c r="E47" s="46"/>
      <c r="F47" s="40">
        <f>C47*E47</f>
        <v>0</v>
      </c>
      <c r="G47" s="46"/>
      <c r="H47" s="40">
        <f>C47*G47</f>
        <v>0</v>
      </c>
      <c r="I47" s="46"/>
      <c r="J47" s="103">
        <f>C47*I47</f>
        <v>0</v>
      </c>
    </row>
    <row r="48" spans="1:10" ht="21" customHeight="1" thickBot="1">
      <c r="A48" s="38"/>
      <c r="B48" s="148"/>
      <c r="C48" s="38"/>
      <c r="D48" s="38" t="s">
        <v>16</v>
      </c>
      <c r="E48" s="138"/>
      <c r="F48" s="103">
        <f>C48*E48</f>
        <v>0</v>
      </c>
      <c r="G48" s="102"/>
      <c r="H48" s="103">
        <f>C48*G48</f>
        <v>0</v>
      </c>
      <c r="I48" s="102"/>
      <c r="J48" s="103">
        <f>C48*I48</f>
        <v>0</v>
      </c>
    </row>
    <row r="49" spans="1:10" ht="21" customHeight="1" thickTop="1">
      <c r="A49" s="38"/>
      <c r="B49" s="38"/>
      <c r="C49" s="38"/>
      <c r="D49" s="38"/>
      <c r="E49" s="90"/>
      <c r="F49" s="104">
        <f>SUM(F44:F48)</f>
        <v>0</v>
      </c>
      <c r="G49" s="90"/>
      <c r="H49" s="104">
        <f>SUM(H44:H48)</f>
        <v>0</v>
      </c>
      <c r="I49" s="90"/>
      <c r="J49" s="104">
        <f>SUM(J44:J48)</f>
        <v>0</v>
      </c>
    </row>
    <row r="50" spans="1:10" ht="21" customHeight="1">
      <c r="A50" s="38"/>
      <c r="B50" s="231" t="s">
        <v>471</v>
      </c>
      <c r="C50" s="233">
        <f>SUM(F49,H49,J49)</f>
        <v>0</v>
      </c>
      <c r="D50" s="38"/>
      <c r="E50" s="46"/>
      <c r="F50" s="40"/>
      <c r="G50" s="46"/>
      <c r="H50" s="40"/>
      <c r="I50" s="46"/>
      <c r="J50" s="40"/>
    </row>
    <row r="51" spans="1:10" ht="12" customHeight="1">
      <c r="A51" s="38"/>
      <c r="B51" s="71"/>
      <c r="C51" s="54"/>
      <c r="D51" s="38"/>
      <c r="E51" s="46"/>
      <c r="F51" s="40"/>
      <c r="G51" s="46"/>
      <c r="H51" s="40"/>
      <c r="I51" s="46"/>
      <c r="J51" s="40"/>
    </row>
    <row r="52" spans="1:10" ht="21" customHeight="1">
      <c r="A52" s="38"/>
      <c r="B52" s="110" t="s">
        <v>268</v>
      </c>
      <c r="C52" s="38"/>
      <c r="D52" s="38"/>
      <c r="E52" s="46"/>
      <c r="F52" s="40"/>
      <c r="G52" s="46"/>
      <c r="H52" s="40"/>
      <c r="I52" s="46"/>
      <c r="J52" s="40"/>
    </row>
    <row r="53" spans="1:10" ht="21" customHeight="1">
      <c r="A53" s="38"/>
      <c r="B53" s="147" t="s">
        <v>578</v>
      </c>
      <c r="C53" s="38"/>
      <c r="D53" s="38" t="s">
        <v>16</v>
      </c>
      <c r="E53" s="46">
        <v>7</v>
      </c>
      <c r="F53" s="40">
        <f>C53*E53</f>
        <v>0</v>
      </c>
      <c r="G53" s="46">
        <v>0</v>
      </c>
      <c r="H53" s="40">
        <f>C53*G53</f>
        <v>0</v>
      </c>
      <c r="I53" s="46"/>
      <c r="J53" s="103">
        <f>C53*I53</f>
        <v>0</v>
      </c>
    </row>
    <row r="54" spans="1:10" ht="21" customHeight="1">
      <c r="A54" s="38"/>
      <c r="B54" s="59"/>
      <c r="C54" s="38"/>
      <c r="D54" s="38" t="s">
        <v>16</v>
      </c>
      <c r="E54" s="46">
        <v>0</v>
      </c>
      <c r="F54" s="40">
        <f>C54*E54</f>
        <v>0</v>
      </c>
      <c r="G54" s="46">
        <v>0</v>
      </c>
      <c r="H54" s="40">
        <f>C54*G54</f>
        <v>0</v>
      </c>
      <c r="I54" s="46"/>
      <c r="J54" s="103">
        <f>C54*I54</f>
        <v>0</v>
      </c>
    </row>
    <row r="55" spans="1:10" ht="21" customHeight="1">
      <c r="A55" s="38"/>
      <c r="B55" s="59"/>
      <c r="C55" s="38"/>
      <c r="D55" s="38" t="s">
        <v>16</v>
      </c>
      <c r="E55" s="46">
        <v>0</v>
      </c>
      <c r="F55" s="40">
        <f>C55*E55</f>
        <v>0</v>
      </c>
      <c r="G55" s="46">
        <v>0</v>
      </c>
      <c r="H55" s="40">
        <f>C55*G55</f>
        <v>0</v>
      </c>
      <c r="I55" s="46"/>
      <c r="J55" s="103">
        <f>C55*I55</f>
        <v>0</v>
      </c>
    </row>
    <row r="56" spans="1:10" ht="21" customHeight="1">
      <c r="A56" s="38"/>
      <c r="B56" s="59"/>
      <c r="C56" s="38"/>
      <c r="D56" s="38" t="s">
        <v>16</v>
      </c>
      <c r="E56" s="46">
        <v>0</v>
      </c>
      <c r="F56" s="40">
        <f>C56*E56</f>
        <v>0</v>
      </c>
      <c r="G56" s="46">
        <v>0</v>
      </c>
      <c r="H56" s="40">
        <f>C56*G56</f>
        <v>0</v>
      </c>
      <c r="I56" s="46"/>
      <c r="J56" s="103">
        <f>C56*I56</f>
        <v>0</v>
      </c>
    </row>
    <row r="57" spans="1:10" ht="21" customHeight="1" thickBot="1">
      <c r="A57" s="38"/>
      <c r="B57" s="148"/>
      <c r="C57" s="38"/>
      <c r="D57" s="38" t="s">
        <v>16</v>
      </c>
      <c r="E57" s="138">
        <v>0</v>
      </c>
      <c r="F57" s="103">
        <f>C57*E57</f>
        <v>0</v>
      </c>
      <c r="G57" s="102">
        <v>0</v>
      </c>
      <c r="H57" s="103">
        <f>C57*G57</f>
        <v>0</v>
      </c>
      <c r="I57" s="102"/>
      <c r="J57" s="103">
        <f>C57*I57</f>
        <v>0</v>
      </c>
    </row>
    <row r="58" spans="1:10" ht="21" customHeight="1" thickTop="1">
      <c r="A58" s="38"/>
      <c r="B58" s="38"/>
      <c r="C58" s="38"/>
      <c r="D58" s="38"/>
      <c r="E58" s="90"/>
      <c r="F58" s="104">
        <f>SUM(F53:F57)</f>
        <v>0</v>
      </c>
      <c r="G58" s="90"/>
      <c r="H58" s="104">
        <f>SUM(H53:H57)</f>
        <v>0</v>
      </c>
      <c r="I58" s="90"/>
      <c r="J58" s="104">
        <f>SUM(J53:J57)</f>
        <v>0</v>
      </c>
    </row>
    <row r="59" spans="1:10" ht="21" customHeight="1">
      <c r="A59" s="38"/>
      <c r="B59" s="231" t="s">
        <v>472</v>
      </c>
      <c r="C59" s="233">
        <f>SUM(F58,H58,J58)</f>
        <v>0</v>
      </c>
      <c r="D59" s="38"/>
      <c r="E59" s="46"/>
      <c r="F59" s="40"/>
      <c r="G59" s="46"/>
      <c r="H59" s="40"/>
      <c r="I59" s="46"/>
      <c r="J59" s="40"/>
    </row>
    <row r="60" spans="1:10" ht="12" customHeight="1">
      <c r="A60" s="38"/>
      <c r="B60" s="71"/>
      <c r="C60" s="54"/>
      <c r="D60" s="38"/>
      <c r="E60" s="46"/>
      <c r="F60" s="40"/>
      <c r="G60" s="46"/>
      <c r="H60" s="40"/>
      <c r="I60" s="46"/>
      <c r="J60" s="40"/>
    </row>
    <row r="61" spans="1:10" ht="21" customHeight="1">
      <c r="A61" s="38"/>
      <c r="B61" s="110" t="s">
        <v>102</v>
      </c>
      <c r="C61" s="38"/>
      <c r="D61" s="38"/>
      <c r="E61" s="46"/>
      <c r="F61" s="40"/>
      <c r="G61" s="46"/>
      <c r="H61" s="40"/>
      <c r="I61" s="46"/>
      <c r="J61" s="40"/>
    </row>
    <row r="62" spans="1:10" ht="21" customHeight="1">
      <c r="A62" s="38"/>
      <c r="B62" s="59" t="s">
        <v>103</v>
      </c>
      <c r="C62" s="38"/>
      <c r="D62" s="38" t="s">
        <v>16</v>
      </c>
      <c r="E62" s="46">
        <v>50</v>
      </c>
      <c r="F62" s="40">
        <f>C62*E62</f>
        <v>0</v>
      </c>
      <c r="G62" s="46">
        <v>400</v>
      </c>
      <c r="H62" s="40">
        <f>C62*G62</f>
        <v>0</v>
      </c>
      <c r="I62" s="46"/>
      <c r="J62" s="103">
        <f>C62*I62</f>
        <v>0</v>
      </c>
    </row>
    <row r="63" spans="1:10" ht="21" customHeight="1">
      <c r="A63" s="38"/>
      <c r="B63" s="59" t="s">
        <v>104</v>
      </c>
      <c r="C63" s="38"/>
      <c r="D63" s="38" t="s">
        <v>16</v>
      </c>
      <c r="E63" s="46">
        <v>50</v>
      </c>
      <c r="F63" s="40">
        <f>C63*E63</f>
        <v>0</v>
      </c>
      <c r="G63" s="46">
        <v>375</v>
      </c>
      <c r="H63" s="40">
        <f>C63*G63</f>
        <v>0</v>
      </c>
      <c r="I63" s="46"/>
      <c r="J63" s="103">
        <f>C63*I63</f>
        <v>0</v>
      </c>
    </row>
    <row r="64" spans="1:10" ht="21" customHeight="1">
      <c r="A64" s="38"/>
      <c r="B64" s="147" t="s">
        <v>590</v>
      </c>
      <c r="C64" s="38"/>
      <c r="D64" s="38" t="s">
        <v>16</v>
      </c>
      <c r="E64" s="46">
        <v>4</v>
      </c>
      <c r="F64" s="40">
        <f>C64*E64</f>
        <v>0</v>
      </c>
      <c r="G64" s="46">
        <v>3</v>
      </c>
      <c r="H64" s="40">
        <f>C64*G64</f>
        <v>0</v>
      </c>
      <c r="I64" s="46"/>
      <c r="J64" s="103">
        <f>C64*I64</f>
        <v>0</v>
      </c>
    </row>
    <row r="65" spans="1:10" ht="21" customHeight="1">
      <c r="A65" s="38"/>
      <c r="B65" s="147" t="s">
        <v>594</v>
      </c>
      <c r="C65" s="38"/>
      <c r="D65" s="100" t="s">
        <v>14</v>
      </c>
      <c r="E65" s="46">
        <v>6</v>
      </c>
      <c r="F65" s="40">
        <f>C65*E65</f>
        <v>0</v>
      </c>
      <c r="G65" s="46">
        <v>4</v>
      </c>
      <c r="H65" s="40">
        <f>C65*G65</f>
        <v>0</v>
      </c>
      <c r="I65" s="46"/>
      <c r="J65" s="103">
        <f>C65*I65</f>
        <v>0</v>
      </c>
    </row>
    <row r="66" spans="1:10" ht="21" customHeight="1" thickBot="1">
      <c r="A66" s="38"/>
      <c r="B66" s="256" t="s">
        <v>595</v>
      </c>
      <c r="C66" s="38"/>
      <c r="D66" s="38" t="s">
        <v>16</v>
      </c>
      <c r="E66" s="138">
        <v>5</v>
      </c>
      <c r="F66" s="103">
        <f>C66*E66</f>
        <v>0</v>
      </c>
      <c r="G66" s="102">
        <v>7</v>
      </c>
      <c r="H66" s="103">
        <f>C66*G66</f>
        <v>0</v>
      </c>
      <c r="I66" s="102"/>
      <c r="J66" s="103">
        <f>C66*I66</f>
        <v>0</v>
      </c>
    </row>
    <row r="67" spans="1:10" ht="21" customHeight="1" thickTop="1">
      <c r="A67" s="38"/>
      <c r="B67" s="38"/>
      <c r="C67" s="38"/>
      <c r="D67" s="38"/>
      <c r="E67" s="90"/>
      <c r="F67" s="104">
        <f>SUM(F62:F66)</f>
        <v>0</v>
      </c>
      <c r="G67" s="90"/>
      <c r="H67" s="104">
        <f>SUM(H62:H66)</f>
        <v>0</v>
      </c>
      <c r="I67" s="90"/>
      <c r="J67" s="104">
        <f>SUM(J62:J66)</f>
        <v>0</v>
      </c>
    </row>
    <row r="68" spans="1:10" ht="21" customHeight="1">
      <c r="A68" s="38"/>
      <c r="B68" s="231" t="s">
        <v>473</v>
      </c>
      <c r="C68" s="233">
        <f>SUM(F67,H67,J67)</f>
        <v>0</v>
      </c>
      <c r="D68" s="38"/>
      <c r="E68" s="46"/>
      <c r="F68" s="40"/>
      <c r="G68" s="46"/>
      <c r="H68" s="40"/>
      <c r="I68" s="46"/>
      <c r="J68" s="40"/>
    </row>
    <row r="69" spans="1:10" ht="12" customHeight="1">
      <c r="A69" s="89"/>
      <c r="B69" s="130"/>
      <c r="C69" s="58"/>
      <c r="D69" s="89"/>
      <c r="E69" s="102"/>
      <c r="F69" s="103"/>
      <c r="G69" s="102"/>
      <c r="H69" s="103"/>
      <c r="I69" s="102"/>
      <c r="J69" s="103"/>
    </row>
    <row r="70" spans="1:10" ht="21" customHeight="1">
      <c r="A70" s="89"/>
      <c r="B70" s="110" t="s">
        <v>389</v>
      </c>
      <c r="C70" s="38"/>
      <c r="D70" s="38"/>
      <c r="E70" s="46"/>
      <c r="F70" s="40"/>
      <c r="G70" s="46"/>
      <c r="H70" s="40"/>
      <c r="I70" s="46"/>
      <c r="J70" s="40"/>
    </row>
    <row r="71" spans="1:10" ht="21" customHeight="1">
      <c r="A71" s="89"/>
      <c r="B71" s="59"/>
      <c r="C71" s="38"/>
      <c r="D71" s="38" t="s">
        <v>16</v>
      </c>
      <c r="E71" s="46">
        <v>125</v>
      </c>
      <c r="F71" s="40">
        <f>C71*E71</f>
        <v>0</v>
      </c>
      <c r="G71" s="46">
        <v>30</v>
      </c>
      <c r="H71" s="40">
        <f>C71*G71</f>
        <v>0</v>
      </c>
      <c r="I71" s="46"/>
      <c r="J71" s="103">
        <f>C71*I71</f>
        <v>0</v>
      </c>
    </row>
    <row r="72" spans="1:10" ht="21" customHeight="1">
      <c r="A72" s="89"/>
      <c r="B72" s="59"/>
      <c r="C72" s="38"/>
      <c r="D72" s="38" t="s">
        <v>16</v>
      </c>
      <c r="E72" s="46">
        <v>125</v>
      </c>
      <c r="F72" s="40">
        <f>C72*E72</f>
        <v>0</v>
      </c>
      <c r="G72" s="46">
        <v>40</v>
      </c>
      <c r="H72" s="40">
        <f>C72*G72</f>
        <v>0</v>
      </c>
      <c r="I72" s="46"/>
      <c r="J72" s="103">
        <f>C72*I72</f>
        <v>0</v>
      </c>
    </row>
    <row r="73" spans="1:10" ht="21" customHeight="1">
      <c r="A73" s="89"/>
      <c r="B73" s="59"/>
      <c r="C73" s="38"/>
      <c r="D73" s="38" t="s">
        <v>16</v>
      </c>
      <c r="E73" s="46">
        <v>85</v>
      </c>
      <c r="F73" s="40">
        <f>C73*E73</f>
        <v>0</v>
      </c>
      <c r="G73" s="46">
        <v>17</v>
      </c>
      <c r="H73" s="40">
        <f>C73*G73</f>
        <v>0</v>
      </c>
      <c r="I73" s="46"/>
      <c r="J73" s="103">
        <f>C73*I73</f>
        <v>0</v>
      </c>
    </row>
    <row r="74" spans="1:10" ht="21" customHeight="1">
      <c r="A74" s="89"/>
      <c r="B74" s="59"/>
      <c r="C74" s="38"/>
      <c r="D74" s="38" t="s">
        <v>16</v>
      </c>
      <c r="E74" s="46">
        <v>85</v>
      </c>
      <c r="F74" s="40">
        <f>C74*E74</f>
        <v>0</v>
      </c>
      <c r="G74" s="46">
        <v>17</v>
      </c>
      <c r="H74" s="40">
        <f>C74*G74</f>
        <v>0</v>
      </c>
      <c r="I74" s="46"/>
      <c r="J74" s="103">
        <f>C74*I74</f>
        <v>0</v>
      </c>
    </row>
    <row r="75" spans="1:10" ht="21" customHeight="1" thickBot="1">
      <c r="A75" s="89"/>
      <c r="B75" s="148"/>
      <c r="C75" s="38"/>
      <c r="D75" s="38" t="s">
        <v>16</v>
      </c>
      <c r="E75" s="138">
        <v>5</v>
      </c>
      <c r="F75" s="103">
        <f>C75*E75</f>
        <v>0</v>
      </c>
      <c r="G75" s="102">
        <v>3.3</v>
      </c>
      <c r="H75" s="103">
        <f>C75*G75</f>
        <v>0</v>
      </c>
      <c r="I75" s="102"/>
      <c r="J75" s="103">
        <f>C75*I75</f>
        <v>0</v>
      </c>
    </row>
    <row r="76" spans="1:10" ht="21" customHeight="1" thickTop="1">
      <c r="A76" s="89"/>
      <c r="B76" s="38"/>
      <c r="C76" s="38"/>
      <c r="D76" s="38"/>
      <c r="E76" s="90"/>
      <c r="F76" s="104">
        <f>SUM(F71:F75)</f>
        <v>0</v>
      </c>
      <c r="G76" s="90"/>
      <c r="H76" s="104">
        <f>SUM(H71:H75)</f>
        <v>0</v>
      </c>
      <c r="I76" s="90"/>
      <c r="J76" s="104">
        <f>SUM(J71:J75)</f>
        <v>0</v>
      </c>
    </row>
    <row r="77" spans="1:10" ht="21" customHeight="1">
      <c r="A77" s="89"/>
      <c r="B77" s="231" t="s">
        <v>474</v>
      </c>
      <c r="C77" s="233">
        <f>SUM(F76,H76,J76)</f>
        <v>0</v>
      </c>
      <c r="D77" s="38"/>
      <c r="E77" s="46"/>
      <c r="F77" s="40"/>
      <c r="G77" s="46"/>
      <c r="H77" s="40"/>
      <c r="I77" s="46"/>
      <c r="J77" s="40"/>
    </row>
    <row r="78" spans="1:10" ht="21" customHeight="1">
      <c r="A78" s="43"/>
      <c r="B78" s="140"/>
      <c r="C78" s="88"/>
      <c r="D78" s="43"/>
      <c r="E78" s="132"/>
      <c r="F78" s="133"/>
      <c r="G78" s="132"/>
      <c r="H78" s="133"/>
      <c r="I78" s="132"/>
      <c r="J78" s="133"/>
    </row>
    <row r="79" spans="1:10" ht="21" customHeight="1">
      <c r="A79" s="44"/>
      <c r="B79" s="44"/>
      <c r="C79" s="44"/>
      <c r="D79" s="44"/>
      <c r="E79" s="134"/>
      <c r="F79" s="135"/>
      <c r="G79" s="134"/>
      <c r="H79" s="135"/>
      <c r="I79" s="134"/>
      <c r="J79" s="135"/>
    </row>
    <row r="80" spans="1:10" ht="21" customHeight="1">
      <c r="A80" s="44"/>
      <c r="B80" s="44"/>
      <c r="C80" s="44"/>
      <c r="D80" s="44"/>
      <c r="E80" s="134"/>
      <c r="F80" s="135"/>
      <c r="G80" s="134"/>
      <c r="H80" s="135"/>
      <c r="I80" s="134"/>
      <c r="J80" s="135"/>
    </row>
    <row r="81" spans="1:10" ht="12.75">
      <c r="A81" s="44"/>
      <c r="B81" s="44"/>
      <c r="C81" s="44"/>
      <c r="D81" s="44"/>
      <c r="E81" s="134"/>
      <c r="F81" s="135"/>
      <c r="G81" s="134"/>
      <c r="H81" s="135"/>
      <c r="I81" s="134"/>
      <c r="J81" s="135"/>
    </row>
    <row r="82" spans="1:10" ht="12.75">
      <c r="A82" s="44"/>
      <c r="B82" s="44"/>
      <c r="C82" s="44"/>
      <c r="D82" s="44"/>
      <c r="E82" s="134"/>
      <c r="F82" s="135"/>
      <c r="G82" s="134"/>
      <c r="H82" s="135"/>
      <c r="I82" s="134"/>
      <c r="J82" s="135"/>
    </row>
    <row r="83" spans="1:10" ht="12.75">
      <c r="A83" s="44"/>
      <c r="B83" s="44"/>
      <c r="C83" s="44"/>
      <c r="D83" s="44"/>
      <c r="E83" s="134"/>
      <c r="F83" s="135"/>
      <c r="G83" s="134"/>
      <c r="H83" s="135"/>
      <c r="I83" s="134"/>
      <c r="J83" s="135"/>
    </row>
    <row r="84" spans="5:10" ht="12.75">
      <c r="E84" s="134"/>
      <c r="F84" s="135"/>
      <c r="G84" s="134"/>
      <c r="H84" s="135"/>
      <c r="I84" s="134"/>
      <c r="J84" s="135"/>
    </row>
    <row r="85" spans="5:10" ht="12.75">
      <c r="E85" s="134"/>
      <c r="F85" s="135"/>
      <c r="G85" s="134"/>
      <c r="H85" s="135"/>
      <c r="I85" s="134"/>
      <c r="J85" s="135"/>
    </row>
    <row r="86" spans="5:10" ht="12.75">
      <c r="E86" s="134"/>
      <c r="F86" s="135"/>
      <c r="G86" s="134"/>
      <c r="H86" s="135"/>
      <c r="I86" s="134"/>
      <c r="J86" s="135"/>
    </row>
    <row r="87" spans="5:10" ht="12.75">
      <c r="E87" s="134"/>
      <c r="F87" s="135"/>
      <c r="G87" s="134"/>
      <c r="H87" s="135"/>
      <c r="I87" s="134"/>
      <c r="J87" s="135"/>
    </row>
    <row r="88" spans="5:10" ht="12.75">
      <c r="E88" s="134"/>
      <c r="F88" s="135"/>
      <c r="G88" s="134"/>
      <c r="H88" s="135"/>
      <c r="I88" s="134"/>
      <c r="J88" s="135"/>
    </row>
    <row r="89" spans="5:10" ht="12.75">
      <c r="E89" s="134"/>
      <c r="F89" s="135"/>
      <c r="G89" s="134"/>
      <c r="H89" s="135"/>
      <c r="I89" s="134"/>
      <c r="J89" s="135"/>
    </row>
    <row r="90" spans="5:10" ht="12.75">
      <c r="E90" s="134"/>
      <c r="F90" s="135"/>
      <c r="G90" s="134"/>
      <c r="H90" s="135"/>
      <c r="I90" s="134"/>
      <c r="J90" s="135"/>
    </row>
    <row r="91" spans="5:10" ht="12.75">
      <c r="E91" s="134"/>
      <c r="F91" s="135"/>
      <c r="G91" s="134"/>
      <c r="H91" s="135"/>
      <c r="I91" s="134"/>
      <c r="J91" s="135"/>
    </row>
    <row r="92" spans="5:10" ht="12.75">
      <c r="E92" s="134"/>
      <c r="F92" s="135"/>
      <c r="G92" s="134"/>
      <c r="H92" s="135"/>
      <c r="I92" s="134"/>
      <c r="J92" s="135"/>
    </row>
    <row r="93" spans="5:10" ht="12.75">
      <c r="E93" s="134"/>
      <c r="F93" s="135"/>
      <c r="G93" s="134"/>
      <c r="H93" s="135"/>
      <c r="I93" s="134"/>
      <c r="J93" s="135"/>
    </row>
    <row r="94" spans="5:10" ht="12.75">
      <c r="E94" s="134"/>
      <c r="F94" s="135"/>
      <c r="G94" s="134"/>
      <c r="H94" s="135"/>
      <c r="I94" s="134"/>
      <c r="J94" s="135"/>
    </row>
    <row r="95" spans="5:10" ht="12.75">
      <c r="E95" s="134"/>
      <c r="F95" s="135"/>
      <c r="G95" s="134"/>
      <c r="H95" s="135"/>
      <c r="I95" s="134"/>
      <c r="J95" s="135"/>
    </row>
    <row r="96" spans="5:10" ht="12.75">
      <c r="E96" s="134"/>
      <c r="F96" s="135"/>
      <c r="G96" s="134"/>
      <c r="H96" s="135"/>
      <c r="I96" s="134"/>
      <c r="J96" s="135"/>
    </row>
    <row r="97" spans="5:10" ht="12.75">
      <c r="E97" s="134"/>
      <c r="F97" s="135"/>
      <c r="G97" s="134"/>
      <c r="H97" s="135"/>
      <c r="I97" s="134"/>
      <c r="J97" s="135"/>
    </row>
    <row r="98" spans="5:10" ht="12.75">
      <c r="E98" s="134"/>
      <c r="F98" s="135"/>
      <c r="G98" s="134"/>
      <c r="H98" s="135"/>
      <c r="I98" s="134"/>
      <c r="J98" s="135"/>
    </row>
    <row r="99" spans="5:10" ht="12.75">
      <c r="E99" s="134"/>
      <c r="F99" s="135"/>
      <c r="G99" s="134"/>
      <c r="H99" s="135"/>
      <c r="I99" s="134"/>
      <c r="J99" s="135"/>
    </row>
    <row r="100" spans="5:10" ht="12.75">
      <c r="E100" s="134"/>
      <c r="F100" s="135"/>
      <c r="G100" s="134"/>
      <c r="H100" s="135"/>
      <c r="I100" s="134"/>
      <c r="J100" s="135"/>
    </row>
    <row r="101" spans="5:10" ht="12.75">
      <c r="E101" s="134"/>
      <c r="F101" s="135"/>
      <c r="G101" s="134"/>
      <c r="H101" s="135"/>
      <c r="I101" s="134"/>
      <c r="J101" s="135"/>
    </row>
    <row r="102" spans="5:10" ht="12.75">
      <c r="E102" s="134"/>
      <c r="F102" s="135"/>
      <c r="G102" s="134"/>
      <c r="H102" s="135"/>
      <c r="I102" s="134"/>
      <c r="J102" s="135"/>
    </row>
    <row r="103" spans="5:10" ht="12.75">
      <c r="E103" s="134"/>
      <c r="F103" s="44"/>
      <c r="G103" s="134"/>
      <c r="H103" s="44"/>
      <c r="I103" s="134"/>
      <c r="J103" s="44"/>
    </row>
    <row r="104" spans="5:10" ht="12.75">
      <c r="E104" s="134"/>
      <c r="F104" s="44"/>
      <c r="G104" s="134"/>
      <c r="H104" s="44"/>
      <c r="I104" s="134"/>
      <c r="J104" s="44"/>
    </row>
  </sheetData>
  <sheetProtection/>
  <mergeCells count="1">
    <mergeCell ref="F2:G2"/>
  </mergeCells>
  <printOptions/>
  <pageMargins left="0.25" right="0" top="1" bottom="0" header="0.5" footer="0"/>
  <pageSetup horizontalDpi="300" verticalDpi="300" orientation="landscape" r:id="rId1"/>
  <headerFooter alignWithMargins="0">
    <oddHeader>&amp;RPage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J92"/>
  <sheetViews>
    <sheetView zoomScalePageLayoutView="0" workbookViewId="0" topLeftCell="A1">
      <pane ySplit="6" topLeftCell="A19" activePane="bottomLeft" state="frozen"/>
      <selection pane="topLeft" activeCell="A1" sqref="A1"/>
      <selection pane="bottomLeft" activeCell="N27" sqref="N27"/>
    </sheetView>
  </sheetViews>
  <sheetFormatPr defaultColWidth="8.8515625" defaultRowHeight="12.75"/>
  <cols>
    <col min="1" max="1" width="9.57421875" style="45" bestFit="1" customWidth="1"/>
    <col min="2" max="2" width="44.7109375" style="45" bestFit="1" customWidth="1"/>
    <col min="3" max="3" width="11.7109375" style="45" customWidth="1"/>
    <col min="4" max="4" width="9.7109375" style="45" customWidth="1"/>
    <col min="5" max="5" width="7.28125" style="136" customWidth="1"/>
    <col min="6" max="6" width="10.28125" style="45" customWidth="1"/>
    <col min="7" max="7" width="7.00390625" style="136" customWidth="1"/>
    <col min="8" max="8" width="14.00390625" style="45" bestFit="1" customWidth="1"/>
    <col min="9" max="9" width="7.00390625" style="136" customWidth="1"/>
    <col min="10" max="10" width="10.28125" style="45" customWidth="1"/>
    <col min="11" max="16384" width="8.8515625" style="45" customWidth="1"/>
  </cols>
  <sheetData>
    <row r="1" spans="1:9" ht="12.75">
      <c r="A1" s="166" t="s">
        <v>446</v>
      </c>
      <c r="B1" s="195">
        <f>Spread!B1</f>
        <v>0</v>
      </c>
      <c r="C1" s="165" t="s">
        <v>370</v>
      </c>
      <c r="D1" s="196" t="e">
        <f>Spread!#REF!</f>
        <v>#REF!</v>
      </c>
      <c r="E1"/>
      <c r="F1" s="165" t="s">
        <v>371</v>
      </c>
      <c r="G1" s="51"/>
      <c r="H1" s="170" t="e">
        <f>Spread!#REF!</f>
        <v>#REF!</v>
      </c>
      <c r="I1" s="45"/>
    </row>
    <row r="2" spans="1:9" ht="12.75">
      <c r="A2" s="166"/>
      <c r="B2" s="195" t="e">
        <f>Spread!#REF!</f>
        <v>#REF!</v>
      </c>
      <c r="C2" s="51"/>
      <c r="D2" s="51"/>
      <c r="E2"/>
      <c r="F2" s="476" t="s">
        <v>447</v>
      </c>
      <c r="G2" s="476"/>
      <c r="H2" s="197" t="e">
        <f>Spread!#REF!</f>
        <v>#REF!</v>
      </c>
      <c r="I2" s="45"/>
    </row>
    <row r="3" spans="1:9" ht="12.75" customHeight="1">
      <c r="A3" s="168"/>
      <c r="B3" s="195">
        <f>Spread!B3</f>
        <v>0</v>
      </c>
      <c r="C3" s="165" t="s">
        <v>445</v>
      </c>
      <c r="D3" s="51" t="e">
        <f>Spread!#REF!</f>
        <v>#REF!</v>
      </c>
      <c r="E3" s="51"/>
      <c r="F3" s="51"/>
      <c r="G3" s="51"/>
      <c r="H3" s="51"/>
      <c r="I3" s="118"/>
    </row>
    <row r="4" spans="2:9" ht="12" customHeight="1">
      <c r="B4" s="119"/>
      <c r="E4" s="45"/>
      <c r="G4" s="45"/>
      <c r="I4" s="45"/>
    </row>
    <row r="5" spans="1:10" ht="12.75" customHeight="1">
      <c r="A5" s="120" t="s">
        <v>7</v>
      </c>
      <c r="B5" s="120" t="s">
        <v>0</v>
      </c>
      <c r="C5" s="120" t="s">
        <v>8</v>
      </c>
      <c r="D5" s="120" t="s">
        <v>9</v>
      </c>
      <c r="E5" s="121" t="s">
        <v>2</v>
      </c>
      <c r="F5" s="122"/>
      <c r="G5" s="121" t="s">
        <v>1</v>
      </c>
      <c r="H5" s="122"/>
      <c r="I5" s="121" t="s">
        <v>10</v>
      </c>
      <c r="J5" s="122"/>
    </row>
    <row r="6" spans="1:10" ht="12.75" customHeight="1" thickBot="1">
      <c r="A6" s="123"/>
      <c r="B6" s="123"/>
      <c r="C6" s="123"/>
      <c r="D6" s="123"/>
      <c r="E6" s="124" t="s">
        <v>11</v>
      </c>
      <c r="F6" s="123" t="s">
        <v>12</v>
      </c>
      <c r="G6" s="124" t="s">
        <v>11</v>
      </c>
      <c r="H6" s="123" t="s">
        <v>12</v>
      </c>
      <c r="I6" s="124" t="s">
        <v>13</v>
      </c>
      <c r="J6" s="123" t="s">
        <v>12</v>
      </c>
    </row>
    <row r="7" spans="1:10" ht="21" customHeight="1" thickTop="1">
      <c r="A7" s="38"/>
      <c r="B7" s="110" t="s">
        <v>129</v>
      </c>
      <c r="C7" s="38"/>
      <c r="D7" s="38"/>
      <c r="E7" s="46"/>
      <c r="F7" s="40"/>
      <c r="G7" s="46"/>
      <c r="H7" s="40"/>
      <c r="I7" s="46"/>
      <c r="J7" s="40"/>
    </row>
    <row r="8" spans="1:10" ht="21" customHeight="1">
      <c r="A8" s="38"/>
      <c r="B8" s="59" t="s">
        <v>524</v>
      </c>
      <c r="C8" s="38"/>
      <c r="D8" s="38" t="s">
        <v>14</v>
      </c>
      <c r="E8" s="46"/>
      <c r="F8" s="40">
        <f>C8*E8</f>
        <v>0</v>
      </c>
      <c r="G8" s="46"/>
      <c r="H8" s="40">
        <f>C8*G8</f>
        <v>0</v>
      </c>
      <c r="I8" s="46">
        <v>3.06</v>
      </c>
      <c r="J8" s="40">
        <f>C8*I8</f>
        <v>0</v>
      </c>
    </row>
    <row r="9" spans="1:10" ht="21" customHeight="1" thickBot="1">
      <c r="A9" s="38"/>
      <c r="B9" s="59" t="s">
        <v>202</v>
      </c>
      <c r="C9" s="38"/>
      <c r="D9" s="38" t="s">
        <v>14</v>
      </c>
      <c r="E9" s="46"/>
      <c r="F9" s="40">
        <f>C9*E9</f>
        <v>0</v>
      </c>
      <c r="G9" s="46"/>
      <c r="H9" s="40">
        <f>C9*G9</f>
        <v>0</v>
      </c>
      <c r="I9" s="46">
        <v>1</v>
      </c>
      <c r="J9" s="40">
        <f>C9*I9</f>
        <v>0</v>
      </c>
    </row>
    <row r="10" spans="1:10" ht="21" customHeight="1" thickTop="1">
      <c r="A10" s="38"/>
      <c r="B10" s="38"/>
      <c r="C10" s="38"/>
      <c r="D10" s="38"/>
      <c r="E10" s="90"/>
      <c r="F10" s="104">
        <f>SUM(F8:F9)</f>
        <v>0</v>
      </c>
      <c r="G10" s="90"/>
      <c r="H10" s="104">
        <f>SUM(H8:H9)</f>
        <v>0</v>
      </c>
      <c r="I10" s="90"/>
      <c r="J10" s="143">
        <f>SUM(J8:J9)</f>
        <v>0</v>
      </c>
    </row>
    <row r="11" spans="1:10" ht="21" customHeight="1">
      <c r="A11" s="38"/>
      <c r="B11" s="231" t="s">
        <v>475</v>
      </c>
      <c r="C11" s="233">
        <f>SUM(F10,H10,J10)</f>
        <v>0</v>
      </c>
      <c r="D11" s="38"/>
      <c r="E11" s="46"/>
      <c r="F11" s="40"/>
      <c r="G11" s="46"/>
      <c r="H11" s="40"/>
      <c r="I11" s="46"/>
      <c r="J11" s="40"/>
    </row>
    <row r="12" spans="1:10" ht="12" customHeight="1">
      <c r="A12" s="38"/>
      <c r="B12" s="130"/>
      <c r="C12" s="54"/>
      <c r="D12" s="38"/>
      <c r="E12" s="46"/>
      <c r="F12" s="40"/>
      <c r="G12" s="46"/>
      <c r="H12" s="40"/>
      <c r="I12" s="46"/>
      <c r="J12" s="40"/>
    </row>
    <row r="13" spans="1:10" ht="21" customHeight="1">
      <c r="A13" s="38"/>
      <c r="B13" s="110" t="s">
        <v>143</v>
      </c>
      <c r="C13" s="38"/>
      <c r="D13" s="38"/>
      <c r="E13" s="46"/>
      <c r="F13" s="40"/>
      <c r="G13" s="46"/>
      <c r="H13" s="40"/>
      <c r="I13" s="46"/>
      <c r="J13" s="40"/>
    </row>
    <row r="14" spans="1:10" ht="21" customHeight="1" thickBot="1">
      <c r="A14" s="38"/>
      <c r="B14" s="59" t="s">
        <v>142</v>
      </c>
      <c r="C14" s="38"/>
      <c r="D14" s="38" t="s">
        <v>14</v>
      </c>
      <c r="E14" s="46"/>
      <c r="F14" s="40">
        <f>C14*E14</f>
        <v>0</v>
      </c>
      <c r="G14" s="46"/>
      <c r="H14" s="40">
        <f>C14*G14</f>
        <v>0</v>
      </c>
      <c r="I14" s="46">
        <v>0.5</v>
      </c>
      <c r="J14" s="40">
        <f>C14*I14</f>
        <v>0</v>
      </c>
    </row>
    <row r="15" spans="1:10" ht="21" customHeight="1" thickTop="1">
      <c r="A15" s="38"/>
      <c r="B15" s="38"/>
      <c r="C15" s="38"/>
      <c r="D15" s="38"/>
      <c r="E15" s="90"/>
      <c r="F15" s="104">
        <f>SUM(F14:F14)</f>
        <v>0</v>
      </c>
      <c r="G15" s="90"/>
      <c r="H15" s="104">
        <f>SUM(H14:H14)</f>
        <v>0</v>
      </c>
      <c r="I15" s="90"/>
      <c r="J15" s="143">
        <f>SUM(J14:J14)</f>
        <v>0</v>
      </c>
    </row>
    <row r="16" spans="1:10" ht="21" customHeight="1">
      <c r="A16" s="38"/>
      <c r="B16" s="231" t="s">
        <v>476</v>
      </c>
      <c r="C16" s="233">
        <f>SUM(F15,H15,J15)</f>
        <v>0</v>
      </c>
      <c r="D16" s="38"/>
      <c r="E16" s="46"/>
      <c r="F16" s="40"/>
      <c r="G16" s="46"/>
      <c r="H16" s="40"/>
      <c r="I16" s="46"/>
      <c r="J16" s="40"/>
    </row>
    <row r="17" spans="1:10" ht="12" customHeight="1">
      <c r="A17" s="38"/>
      <c r="B17" s="130"/>
      <c r="C17" s="54"/>
      <c r="D17" s="38"/>
      <c r="E17" s="46"/>
      <c r="F17" s="40"/>
      <c r="G17" s="46"/>
      <c r="H17" s="40"/>
      <c r="I17" s="46"/>
      <c r="J17" s="40"/>
    </row>
    <row r="18" spans="1:10" ht="21" customHeight="1">
      <c r="A18" s="38"/>
      <c r="B18" s="110" t="s">
        <v>24</v>
      </c>
      <c r="C18" s="38"/>
      <c r="D18" s="38"/>
      <c r="E18" s="46"/>
      <c r="F18" s="40"/>
      <c r="G18" s="46"/>
      <c r="H18" s="40"/>
      <c r="I18" s="46"/>
      <c r="J18" s="40"/>
    </row>
    <row r="19" spans="1:10" ht="21" customHeight="1">
      <c r="A19" s="38">
        <v>7220</v>
      </c>
      <c r="B19" s="59" t="s">
        <v>211</v>
      </c>
      <c r="C19" s="38"/>
      <c r="D19" s="38" t="s">
        <v>14</v>
      </c>
      <c r="E19" s="46"/>
      <c r="F19" s="40">
        <f>C19*E19</f>
        <v>0</v>
      </c>
      <c r="G19" s="46"/>
      <c r="H19" s="40">
        <f>C19*G19</f>
        <v>0</v>
      </c>
      <c r="I19" s="46"/>
      <c r="J19" s="40" t="s">
        <v>233</v>
      </c>
    </row>
    <row r="20" spans="1:10" ht="21" customHeight="1">
      <c r="A20" s="38"/>
      <c r="B20" s="59" t="s">
        <v>232</v>
      </c>
      <c r="C20" s="38"/>
      <c r="D20" s="38" t="s">
        <v>14</v>
      </c>
      <c r="E20" s="46">
        <v>0.75</v>
      </c>
      <c r="F20" s="40">
        <f>C20*E20</f>
        <v>0</v>
      </c>
      <c r="G20" s="46">
        <v>0.7</v>
      </c>
      <c r="H20" s="40">
        <f>C20*G20</f>
        <v>0</v>
      </c>
      <c r="I20" s="46"/>
      <c r="J20" s="40">
        <f>C20*I20</f>
        <v>0</v>
      </c>
    </row>
    <row r="21" spans="1:10" ht="21" customHeight="1">
      <c r="A21" s="38"/>
      <c r="B21" s="59" t="s">
        <v>210</v>
      </c>
      <c r="C21" s="38"/>
      <c r="D21" s="38" t="s">
        <v>16</v>
      </c>
      <c r="E21" s="46"/>
      <c r="F21" s="40">
        <f>C21*E21</f>
        <v>0</v>
      </c>
      <c r="G21" s="46"/>
      <c r="H21" s="40">
        <f>C21*G21</f>
        <v>0</v>
      </c>
      <c r="I21" s="46"/>
      <c r="J21" s="40">
        <f>C21*I21</f>
        <v>0</v>
      </c>
    </row>
    <row r="22" spans="1:10" ht="21" customHeight="1" thickBot="1">
      <c r="A22" s="38">
        <v>7205</v>
      </c>
      <c r="B22" s="38" t="s">
        <v>25</v>
      </c>
      <c r="C22" s="40"/>
      <c r="D22" s="38" t="s">
        <v>14</v>
      </c>
      <c r="E22" s="102">
        <v>0.35</v>
      </c>
      <c r="F22" s="103">
        <f>C22*E22</f>
        <v>0</v>
      </c>
      <c r="G22" s="102">
        <v>0.45</v>
      </c>
      <c r="H22" s="103">
        <f>C22*G22</f>
        <v>0</v>
      </c>
      <c r="I22" s="102"/>
      <c r="J22" s="103">
        <f>C22*I22</f>
        <v>0</v>
      </c>
    </row>
    <row r="23" spans="1:10" ht="21" customHeight="1" thickTop="1">
      <c r="A23" s="38"/>
      <c r="B23" s="38"/>
      <c r="C23" s="38"/>
      <c r="D23" s="38"/>
      <c r="E23" s="90"/>
      <c r="F23" s="104">
        <f>SUM(F19:F22)</f>
        <v>0</v>
      </c>
      <c r="G23" s="90"/>
      <c r="H23" s="104">
        <f>SUM(H19:H22)</f>
        <v>0</v>
      </c>
      <c r="I23" s="90"/>
      <c r="J23" s="143">
        <f>SUM(J19:J22)</f>
        <v>0</v>
      </c>
    </row>
    <row r="24" spans="1:10" ht="21" customHeight="1">
      <c r="A24" s="38"/>
      <c r="B24" s="231" t="s">
        <v>477</v>
      </c>
      <c r="C24" s="233">
        <f>SUM(F23,H23,J23)</f>
        <v>0</v>
      </c>
      <c r="D24" s="38"/>
      <c r="E24" s="46"/>
      <c r="F24" s="40"/>
      <c r="G24" s="46"/>
      <c r="H24" s="40"/>
      <c r="I24" s="46"/>
      <c r="J24" s="40"/>
    </row>
    <row r="25" spans="1:10" ht="12" customHeight="1">
      <c r="A25" s="38"/>
      <c r="B25" s="71"/>
      <c r="C25" s="54"/>
      <c r="D25" s="38"/>
      <c r="E25" s="46"/>
      <c r="F25" s="40"/>
      <c r="G25" s="46"/>
      <c r="H25" s="40"/>
      <c r="I25" s="46"/>
      <c r="J25" s="40"/>
    </row>
    <row r="26" spans="1:10" ht="21" customHeight="1">
      <c r="A26" s="38"/>
      <c r="B26" s="110" t="s">
        <v>46</v>
      </c>
      <c r="C26" s="38"/>
      <c r="D26" s="163" t="s">
        <v>334</v>
      </c>
      <c r="E26" s="46"/>
      <c r="F26" s="40"/>
      <c r="G26" s="46"/>
      <c r="H26" s="40"/>
      <c r="I26" s="46"/>
      <c r="J26" s="40"/>
    </row>
    <row r="27" spans="1:10" ht="21" customHeight="1">
      <c r="A27" s="38"/>
      <c r="B27" s="59" t="s">
        <v>577</v>
      </c>
      <c r="C27" s="38"/>
      <c r="D27" s="38" t="s">
        <v>14</v>
      </c>
      <c r="E27" s="46"/>
      <c r="F27" s="40">
        <f aca="true" t="shared" si="0" ref="F27:F35">C27*E27</f>
        <v>0</v>
      </c>
      <c r="G27" s="46"/>
      <c r="H27" s="40">
        <f aca="true" t="shared" si="1" ref="H27:H35">C27*G27</f>
        <v>0</v>
      </c>
      <c r="I27" s="46">
        <v>5</v>
      </c>
      <c r="J27" s="40">
        <f aca="true" t="shared" si="2" ref="J27:J35">C27*I27</f>
        <v>0</v>
      </c>
    </row>
    <row r="28" spans="1:10" ht="21" customHeight="1">
      <c r="A28" s="38"/>
      <c r="B28" s="59" t="s">
        <v>199</v>
      </c>
      <c r="C28" s="38"/>
      <c r="D28" s="38" t="s">
        <v>15</v>
      </c>
      <c r="E28" s="46"/>
      <c r="F28" s="40">
        <f t="shared" si="0"/>
        <v>0</v>
      </c>
      <c r="G28" s="46"/>
      <c r="H28" s="40">
        <f t="shared" si="1"/>
        <v>0</v>
      </c>
      <c r="I28" s="46">
        <v>15</v>
      </c>
      <c r="J28" s="40">
        <f t="shared" si="2"/>
        <v>0</v>
      </c>
    </row>
    <row r="29" spans="1:10" ht="21" customHeight="1">
      <c r="A29" s="38"/>
      <c r="B29" s="59" t="s">
        <v>200</v>
      </c>
      <c r="C29" s="38"/>
      <c r="D29" s="38" t="s">
        <v>15</v>
      </c>
      <c r="E29" s="46"/>
      <c r="F29" s="40">
        <f t="shared" si="0"/>
        <v>0</v>
      </c>
      <c r="G29" s="46"/>
      <c r="H29" s="40">
        <f t="shared" si="1"/>
        <v>0</v>
      </c>
      <c r="I29" s="46">
        <v>25</v>
      </c>
      <c r="J29" s="40">
        <f t="shared" si="2"/>
        <v>0</v>
      </c>
    </row>
    <row r="30" spans="1:10" ht="21" customHeight="1">
      <c r="A30" s="38"/>
      <c r="B30" s="59" t="s">
        <v>201</v>
      </c>
      <c r="C30" s="38"/>
      <c r="D30" s="38" t="s">
        <v>15</v>
      </c>
      <c r="E30" s="46"/>
      <c r="F30" s="40">
        <f t="shared" si="0"/>
        <v>0</v>
      </c>
      <c r="G30" s="46"/>
      <c r="H30" s="40">
        <f t="shared" si="1"/>
        <v>0</v>
      </c>
      <c r="I30" s="46"/>
      <c r="J30" s="40">
        <f t="shared" si="2"/>
        <v>0</v>
      </c>
    </row>
    <row r="31" spans="1:10" ht="21" customHeight="1">
      <c r="A31" s="38"/>
      <c r="B31" s="59" t="s">
        <v>244</v>
      </c>
      <c r="C31" s="38"/>
      <c r="D31" s="38" t="s">
        <v>16</v>
      </c>
      <c r="E31" s="46"/>
      <c r="F31" s="40">
        <f t="shared" si="0"/>
        <v>0</v>
      </c>
      <c r="G31" s="46"/>
      <c r="H31" s="40">
        <f t="shared" si="1"/>
        <v>0</v>
      </c>
      <c r="I31" s="46">
        <v>15</v>
      </c>
      <c r="J31" s="40">
        <f t="shared" si="2"/>
        <v>0</v>
      </c>
    </row>
    <row r="32" spans="1:10" ht="21" customHeight="1">
      <c r="A32" s="38"/>
      <c r="B32" s="59" t="s">
        <v>245</v>
      </c>
      <c r="C32" s="38"/>
      <c r="D32" s="38" t="s">
        <v>16</v>
      </c>
      <c r="E32" s="46"/>
      <c r="F32" s="40">
        <f t="shared" si="0"/>
        <v>0</v>
      </c>
      <c r="G32" s="46"/>
      <c r="H32" s="40">
        <f t="shared" si="1"/>
        <v>0</v>
      </c>
      <c r="I32" s="46">
        <v>15</v>
      </c>
      <c r="J32" s="40">
        <f t="shared" si="2"/>
        <v>0</v>
      </c>
    </row>
    <row r="33" spans="1:10" ht="21" customHeight="1">
      <c r="A33" s="38"/>
      <c r="B33" s="59" t="s">
        <v>558</v>
      </c>
      <c r="C33" s="38"/>
      <c r="D33" s="38" t="s">
        <v>15</v>
      </c>
      <c r="E33" s="46">
        <v>48</v>
      </c>
      <c r="F33" s="40">
        <f>C33*E33</f>
        <v>0</v>
      </c>
      <c r="G33" s="46"/>
      <c r="H33" s="40">
        <f>C33*G33</f>
        <v>0</v>
      </c>
      <c r="I33" s="46">
        <v>966</v>
      </c>
      <c r="J33" s="40">
        <f>C33*I33</f>
        <v>0</v>
      </c>
    </row>
    <row r="34" spans="1:10" ht="21" customHeight="1">
      <c r="A34" s="38"/>
      <c r="B34" s="59" t="s">
        <v>76</v>
      </c>
      <c r="C34" s="38"/>
      <c r="D34" s="38" t="s">
        <v>16</v>
      </c>
      <c r="E34" s="46"/>
      <c r="F34" s="40">
        <f t="shared" si="0"/>
        <v>0</v>
      </c>
      <c r="G34" s="46"/>
      <c r="H34" s="40">
        <f t="shared" si="1"/>
        <v>0</v>
      </c>
      <c r="I34" s="46">
        <v>25</v>
      </c>
      <c r="J34" s="40">
        <f t="shared" si="2"/>
        <v>0</v>
      </c>
    </row>
    <row r="35" spans="1:10" ht="21" customHeight="1" thickBot="1">
      <c r="A35" s="38"/>
      <c r="B35" s="59" t="s">
        <v>105</v>
      </c>
      <c r="C35" s="38"/>
      <c r="D35" s="38" t="s">
        <v>16</v>
      </c>
      <c r="E35" s="46"/>
      <c r="F35" s="40">
        <f t="shared" si="0"/>
        <v>0</v>
      </c>
      <c r="G35" s="46"/>
      <c r="H35" s="40">
        <f t="shared" si="1"/>
        <v>0</v>
      </c>
      <c r="I35" s="46">
        <v>8</v>
      </c>
      <c r="J35" s="40">
        <f t="shared" si="2"/>
        <v>0</v>
      </c>
    </row>
    <row r="36" spans="1:10" ht="21" customHeight="1" thickTop="1">
      <c r="A36" s="38"/>
      <c r="B36" s="38"/>
      <c r="C36" s="38"/>
      <c r="D36" s="38"/>
      <c r="E36" s="90"/>
      <c r="F36" s="104">
        <f>SUM(F27:F35)</f>
        <v>0</v>
      </c>
      <c r="G36" s="90"/>
      <c r="H36" s="104">
        <f>SUM(H27:H35)</f>
        <v>0</v>
      </c>
      <c r="I36" s="90"/>
      <c r="J36" s="143">
        <f>SUM(J27:J35)</f>
        <v>0</v>
      </c>
    </row>
    <row r="37" spans="1:10" ht="21" customHeight="1">
      <c r="A37" s="38"/>
      <c r="B37" s="231" t="s">
        <v>478</v>
      </c>
      <c r="C37" s="233">
        <f>SUM(F36,H36,J36)</f>
        <v>0</v>
      </c>
      <c r="D37" s="38"/>
      <c r="E37" s="46"/>
      <c r="F37" s="40"/>
      <c r="G37" s="46"/>
      <c r="H37" s="40"/>
      <c r="I37" s="46"/>
      <c r="J37" s="40"/>
    </row>
    <row r="38" spans="1:10" ht="12" customHeight="1">
      <c r="A38" s="38"/>
      <c r="B38" s="71"/>
      <c r="C38" s="54"/>
      <c r="D38" s="38"/>
      <c r="E38" s="46"/>
      <c r="F38" s="40"/>
      <c r="G38" s="46"/>
      <c r="H38" s="40"/>
      <c r="I38" s="46"/>
      <c r="J38" s="40"/>
    </row>
    <row r="39" spans="1:10" ht="21" customHeight="1">
      <c r="A39" s="38"/>
      <c r="B39" s="110" t="s">
        <v>600</v>
      </c>
      <c r="C39" s="38"/>
      <c r="D39" s="38"/>
      <c r="E39" s="46"/>
      <c r="F39" s="40"/>
      <c r="G39" s="46"/>
      <c r="H39" s="40"/>
      <c r="I39" s="46"/>
      <c r="J39" s="40"/>
    </row>
    <row r="40" spans="1:10" ht="21" customHeight="1">
      <c r="A40" s="38"/>
      <c r="B40" s="38"/>
      <c r="C40" s="38"/>
      <c r="D40" s="38" t="s">
        <v>14</v>
      </c>
      <c r="E40" s="46">
        <v>3</v>
      </c>
      <c r="F40" s="40">
        <f>C40*E40</f>
        <v>0</v>
      </c>
      <c r="G40" s="46"/>
      <c r="H40" s="40">
        <f>C40*G40</f>
        <v>0</v>
      </c>
      <c r="I40" s="46">
        <v>45</v>
      </c>
      <c r="J40" s="40">
        <f>C40*I40</f>
        <v>0</v>
      </c>
    </row>
    <row r="41" spans="1:10" ht="21" customHeight="1" thickBot="1">
      <c r="A41" s="38"/>
      <c r="B41" s="38"/>
      <c r="C41" s="38"/>
      <c r="D41" s="38" t="s">
        <v>14</v>
      </c>
      <c r="E41" s="46"/>
      <c r="F41" s="40">
        <f>C41*E41</f>
        <v>0</v>
      </c>
      <c r="G41" s="46"/>
      <c r="H41" s="40">
        <f>C41*G41</f>
        <v>0</v>
      </c>
      <c r="I41" s="46">
        <v>10</v>
      </c>
      <c r="J41" s="40">
        <f>C41*I41</f>
        <v>0</v>
      </c>
    </row>
    <row r="42" spans="1:10" ht="21" customHeight="1" thickTop="1">
      <c r="A42" s="38"/>
      <c r="C42" s="38"/>
      <c r="D42" s="38"/>
      <c r="E42" s="90"/>
      <c r="F42" s="104">
        <f>SUM(F40:F40)</f>
        <v>0</v>
      </c>
      <c r="G42" s="90"/>
      <c r="H42" s="104">
        <f>SUM(H40:H40)</f>
        <v>0</v>
      </c>
      <c r="I42" s="90"/>
      <c r="J42" s="104">
        <f>SUM(J40:J41)</f>
        <v>0</v>
      </c>
    </row>
    <row r="43" spans="1:10" ht="21" customHeight="1">
      <c r="A43" s="38"/>
      <c r="B43" s="231" t="s">
        <v>479</v>
      </c>
      <c r="C43" s="233">
        <f>SUM(F42,H42,J42)</f>
        <v>0</v>
      </c>
      <c r="D43" s="38"/>
      <c r="E43" s="46"/>
      <c r="F43" s="40"/>
      <c r="G43" s="46"/>
      <c r="H43" s="40"/>
      <c r="I43" s="46"/>
      <c r="J43" s="40"/>
    </row>
    <row r="44" spans="1:10" ht="12" customHeight="1">
      <c r="A44" s="38"/>
      <c r="B44" s="130"/>
      <c r="C44" s="54"/>
      <c r="D44" s="38"/>
      <c r="E44" s="46"/>
      <c r="F44" s="40"/>
      <c r="G44" s="46"/>
      <c r="H44" s="40"/>
      <c r="I44" s="46"/>
      <c r="J44" s="40"/>
    </row>
    <row r="45" spans="1:10" ht="21" customHeight="1">
      <c r="A45" s="38"/>
      <c r="B45" s="110" t="s">
        <v>376</v>
      </c>
      <c r="C45" s="38"/>
      <c r="D45" s="38"/>
      <c r="E45" s="46"/>
      <c r="F45" s="40"/>
      <c r="G45" s="46"/>
      <c r="H45" s="40"/>
      <c r="I45" s="46"/>
      <c r="J45" s="40"/>
    </row>
    <row r="46" spans="1:10" ht="21" customHeight="1">
      <c r="A46" s="38"/>
      <c r="B46" s="59" t="s">
        <v>576</v>
      </c>
      <c r="C46" s="38"/>
      <c r="D46" s="38" t="s">
        <v>14</v>
      </c>
      <c r="E46" s="46"/>
      <c r="F46" s="40">
        <f>C46*E46</f>
        <v>0</v>
      </c>
      <c r="G46" s="46"/>
      <c r="H46" s="40">
        <f>C46*G46</f>
        <v>0</v>
      </c>
      <c r="I46" s="46">
        <v>14</v>
      </c>
      <c r="J46" s="40">
        <f>C46*I46</f>
        <v>0</v>
      </c>
    </row>
    <row r="47" spans="1:10" ht="21" customHeight="1" thickBot="1">
      <c r="A47" s="38"/>
      <c r="B47" s="59"/>
      <c r="C47" s="38"/>
      <c r="D47" s="38" t="s">
        <v>15</v>
      </c>
      <c r="E47" s="46"/>
      <c r="F47" s="40">
        <f>C47*E47</f>
        <v>0</v>
      </c>
      <c r="G47" s="46"/>
      <c r="H47" s="40">
        <f>C47*G47</f>
        <v>0</v>
      </c>
      <c r="I47" s="46"/>
      <c r="J47" s="40">
        <f>C47*I47</f>
        <v>0</v>
      </c>
    </row>
    <row r="48" spans="1:10" ht="21" customHeight="1" thickTop="1">
      <c r="A48" s="38"/>
      <c r="B48" s="38"/>
      <c r="C48" s="38"/>
      <c r="D48" s="38"/>
      <c r="E48" s="90"/>
      <c r="F48" s="104">
        <f>SUM(F47)</f>
        <v>0</v>
      </c>
      <c r="G48" s="90"/>
      <c r="H48" s="104">
        <f>SUM(H47)</f>
        <v>0</v>
      </c>
      <c r="I48" s="90"/>
      <c r="J48" s="139">
        <f>SUM(J46:J47)</f>
        <v>0</v>
      </c>
    </row>
    <row r="49" spans="1:10" ht="21" customHeight="1">
      <c r="A49" s="38"/>
      <c r="B49" s="231" t="s">
        <v>480</v>
      </c>
      <c r="C49" s="233">
        <f>SUM(F48,H48,J48)</f>
        <v>0</v>
      </c>
      <c r="D49" s="38"/>
      <c r="E49" s="46"/>
      <c r="F49" s="40"/>
      <c r="G49" s="46"/>
      <c r="H49" s="40"/>
      <c r="I49" s="46"/>
      <c r="J49" s="40"/>
    </row>
    <row r="50" spans="1:10" ht="12" customHeight="1">
      <c r="A50" s="38"/>
      <c r="B50" s="130"/>
      <c r="C50" s="54"/>
      <c r="D50" s="38"/>
      <c r="E50" s="46"/>
      <c r="F50" s="40"/>
      <c r="G50" s="46"/>
      <c r="H50" s="40"/>
      <c r="I50" s="46"/>
      <c r="J50" s="40"/>
    </row>
    <row r="51" spans="1:10" ht="21" customHeight="1">
      <c r="A51" s="38"/>
      <c r="B51" s="110" t="s">
        <v>273</v>
      </c>
      <c r="C51" s="38"/>
      <c r="D51" s="38"/>
      <c r="E51" s="46"/>
      <c r="F51" s="40"/>
      <c r="G51" s="46"/>
      <c r="H51" s="40"/>
      <c r="I51" s="46"/>
      <c r="J51" s="40"/>
    </row>
    <row r="52" spans="1:10" ht="21" customHeight="1">
      <c r="A52" s="38"/>
      <c r="B52" s="147" t="s">
        <v>646</v>
      </c>
      <c r="C52" s="38"/>
      <c r="D52" s="100" t="s">
        <v>14</v>
      </c>
      <c r="E52" s="46"/>
      <c r="F52" s="40">
        <f>C52*E52</f>
        <v>0</v>
      </c>
      <c r="G52" s="46"/>
      <c r="H52" s="40">
        <f>C52*G52</f>
        <v>0</v>
      </c>
      <c r="I52" s="46">
        <v>2.25</v>
      </c>
      <c r="J52" s="40">
        <f>C52*I52</f>
        <v>0</v>
      </c>
    </row>
    <row r="53" spans="1:10" ht="21" customHeight="1" thickBot="1">
      <c r="A53" s="38"/>
      <c r="B53" s="59" t="s">
        <v>525</v>
      </c>
      <c r="C53" s="38"/>
      <c r="D53" s="100" t="s">
        <v>14</v>
      </c>
      <c r="E53" s="46"/>
      <c r="F53" s="40">
        <f>C53*E53</f>
        <v>0</v>
      </c>
      <c r="G53" s="46"/>
      <c r="H53" s="40">
        <f>C53*G53</f>
        <v>0</v>
      </c>
      <c r="I53" s="46"/>
      <c r="J53" s="40">
        <f>C53*I53</f>
        <v>0</v>
      </c>
    </row>
    <row r="54" spans="1:10" ht="21" customHeight="1" thickTop="1">
      <c r="A54" s="38"/>
      <c r="B54" s="38"/>
      <c r="C54" s="38"/>
      <c r="D54" s="38"/>
      <c r="E54" s="90"/>
      <c r="F54" s="104">
        <f>SUM(F53)</f>
        <v>0</v>
      </c>
      <c r="G54" s="90"/>
      <c r="H54" s="104">
        <f>SUM(H53)</f>
        <v>0</v>
      </c>
      <c r="I54" s="90"/>
      <c r="J54" s="139">
        <f>SUM(J52:J53)</f>
        <v>0</v>
      </c>
    </row>
    <row r="55" spans="1:10" ht="21" customHeight="1">
      <c r="A55" s="38"/>
      <c r="B55" s="231" t="s">
        <v>481</v>
      </c>
      <c r="C55" s="233">
        <f>SUM(F54,H54,J54)</f>
        <v>0</v>
      </c>
      <c r="D55" s="38"/>
      <c r="E55" s="46"/>
      <c r="F55" s="40"/>
      <c r="G55" s="46"/>
      <c r="H55" s="40"/>
      <c r="I55" s="46"/>
      <c r="J55" s="40"/>
    </row>
    <row r="56" spans="1:10" ht="12" customHeight="1">
      <c r="A56" s="38"/>
      <c r="B56" s="71"/>
      <c r="C56" s="54"/>
      <c r="D56" s="38"/>
      <c r="E56" s="46"/>
      <c r="F56" s="40"/>
      <c r="G56" s="46"/>
      <c r="H56" s="40"/>
      <c r="I56" s="46"/>
      <c r="J56" s="40"/>
    </row>
    <row r="57" spans="1:10" ht="21" customHeight="1">
      <c r="A57" s="38"/>
      <c r="B57" s="110" t="s">
        <v>26</v>
      </c>
      <c r="C57" s="38"/>
      <c r="D57" s="38"/>
      <c r="E57" s="46"/>
      <c r="F57" s="40"/>
      <c r="G57" s="46"/>
      <c r="H57" s="40"/>
      <c r="I57" s="46"/>
      <c r="J57" s="40"/>
    </row>
    <row r="58" spans="1:10" ht="21" customHeight="1">
      <c r="A58" s="38"/>
      <c r="B58" s="38" t="s">
        <v>234</v>
      </c>
      <c r="C58" s="100"/>
      <c r="D58" s="38" t="s">
        <v>16</v>
      </c>
      <c r="E58" s="46"/>
      <c r="F58" s="40">
        <f>C58*E58</f>
        <v>0</v>
      </c>
      <c r="G58" s="46"/>
      <c r="H58" s="40">
        <f>C58*G58</f>
        <v>0</v>
      </c>
      <c r="I58" s="46">
        <v>4</v>
      </c>
      <c r="J58" s="78">
        <f>C58*I58</f>
        <v>0</v>
      </c>
    </row>
    <row r="59" spans="1:10" ht="21" customHeight="1">
      <c r="A59" s="38"/>
      <c r="B59" s="38" t="s">
        <v>304</v>
      </c>
      <c r="C59" s="100"/>
      <c r="D59" s="38" t="s">
        <v>16</v>
      </c>
      <c r="E59" s="46"/>
      <c r="F59" s="40">
        <f>C59*E59</f>
        <v>0</v>
      </c>
      <c r="G59" s="46"/>
      <c r="H59" s="40">
        <f>C59*G59</f>
        <v>0</v>
      </c>
      <c r="I59" s="46">
        <v>8</v>
      </c>
      <c r="J59" s="78">
        <f>C59*I59</f>
        <v>0</v>
      </c>
    </row>
    <row r="60" spans="1:10" ht="21" customHeight="1">
      <c r="A60" s="38"/>
      <c r="B60" s="38" t="s">
        <v>305</v>
      </c>
      <c r="C60" s="100"/>
      <c r="D60" s="38" t="s">
        <v>16</v>
      </c>
      <c r="E60" s="46"/>
      <c r="F60" s="40">
        <f>C60*E60</f>
        <v>0</v>
      </c>
      <c r="G60" s="46"/>
      <c r="H60" s="40">
        <f>C60*G60</f>
        <v>0</v>
      </c>
      <c r="I60" s="46">
        <v>3.5</v>
      </c>
      <c r="J60" s="78">
        <f>C60*I60</f>
        <v>0</v>
      </c>
    </row>
    <row r="61" spans="1:10" ht="21" customHeight="1" thickBot="1">
      <c r="A61" s="38"/>
      <c r="B61" s="38" t="s">
        <v>93</v>
      </c>
      <c r="C61" s="100"/>
      <c r="D61" s="38" t="s">
        <v>15</v>
      </c>
      <c r="E61" s="46"/>
      <c r="F61" s="40">
        <f>C61*E61</f>
        <v>0</v>
      </c>
      <c r="G61" s="46"/>
      <c r="H61" s="40">
        <f>C61*G61</f>
        <v>0</v>
      </c>
      <c r="I61" s="46"/>
      <c r="J61" s="78" t="s">
        <v>141</v>
      </c>
    </row>
    <row r="62" spans="1:10" ht="21" customHeight="1" thickTop="1">
      <c r="A62" s="38"/>
      <c r="B62" s="38"/>
      <c r="C62" s="38"/>
      <c r="D62" s="38"/>
      <c r="E62" s="90"/>
      <c r="F62" s="104">
        <f>SUM(F58:F61)</f>
        <v>0</v>
      </c>
      <c r="G62" s="90"/>
      <c r="H62" s="104">
        <f>SUM(H58:H61)</f>
        <v>0</v>
      </c>
      <c r="I62" s="90"/>
      <c r="J62" s="139">
        <f>SUM(J58:J61)</f>
        <v>0</v>
      </c>
    </row>
    <row r="63" spans="1:10" ht="21" customHeight="1">
      <c r="A63" s="38"/>
      <c r="B63" s="231" t="s">
        <v>482</v>
      </c>
      <c r="C63" s="233">
        <f>SUM(F62,H62,J62)</f>
        <v>0</v>
      </c>
      <c r="D63" s="38"/>
      <c r="E63" s="46"/>
      <c r="F63" s="40"/>
      <c r="G63" s="46"/>
      <c r="H63" s="40"/>
      <c r="I63" s="46"/>
      <c r="J63" s="40"/>
    </row>
    <row r="64" spans="1:10" ht="21" customHeight="1">
      <c r="A64" s="89"/>
      <c r="B64" s="130"/>
      <c r="C64" s="58"/>
      <c r="D64" s="89"/>
      <c r="E64" s="102"/>
      <c r="F64" s="103"/>
      <c r="G64" s="102"/>
      <c r="H64" s="103"/>
      <c r="I64" s="102"/>
      <c r="J64" s="103"/>
    </row>
    <row r="65" spans="1:10" ht="21" customHeight="1">
      <c r="A65" s="89"/>
      <c r="B65" s="130"/>
      <c r="C65" s="58"/>
      <c r="D65" s="89"/>
      <c r="E65" s="102"/>
      <c r="F65" s="103"/>
      <c r="G65" s="102"/>
      <c r="H65" s="103"/>
      <c r="I65" s="102"/>
      <c r="J65" s="103"/>
    </row>
    <row r="66" spans="1:10" ht="21" customHeight="1">
      <c r="A66" s="43"/>
      <c r="B66" s="43"/>
      <c r="C66" s="43"/>
      <c r="D66" s="43"/>
      <c r="E66" s="132"/>
      <c r="F66" s="133"/>
      <c r="G66" s="132"/>
      <c r="H66" s="133"/>
      <c r="I66" s="132"/>
      <c r="J66" s="133"/>
    </row>
    <row r="67" spans="1:10" ht="21" customHeight="1">
      <c r="A67" s="44"/>
      <c r="B67" s="44"/>
      <c r="C67" s="44"/>
      <c r="D67" s="44"/>
      <c r="E67" s="134"/>
      <c r="F67" s="135"/>
      <c r="G67" s="134"/>
      <c r="H67" s="135"/>
      <c r="I67" s="134"/>
      <c r="J67" s="135"/>
    </row>
    <row r="68" spans="1:10" ht="21" customHeight="1">
      <c r="A68" s="44"/>
      <c r="B68" s="44"/>
      <c r="C68" s="44"/>
      <c r="D68" s="44"/>
      <c r="E68" s="134"/>
      <c r="F68" s="135"/>
      <c r="G68" s="134"/>
      <c r="H68" s="135"/>
      <c r="I68" s="134"/>
      <c r="J68" s="135"/>
    </row>
    <row r="69" spans="1:10" ht="12.75">
      <c r="A69" s="44"/>
      <c r="B69" s="44"/>
      <c r="C69" s="44"/>
      <c r="D69" s="44"/>
      <c r="E69" s="134"/>
      <c r="F69" s="135"/>
      <c r="G69" s="134"/>
      <c r="H69" s="135"/>
      <c r="I69" s="134"/>
      <c r="J69" s="135"/>
    </row>
    <row r="70" spans="1:10" ht="12.75">
      <c r="A70" s="44"/>
      <c r="B70" s="44"/>
      <c r="C70" s="44"/>
      <c r="D70" s="44"/>
      <c r="E70" s="134"/>
      <c r="F70" s="135"/>
      <c r="G70" s="134"/>
      <c r="H70" s="135"/>
      <c r="I70" s="134"/>
      <c r="J70" s="135"/>
    </row>
    <row r="71" spans="1:10" ht="12.75">
      <c r="A71" s="44"/>
      <c r="B71" s="44"/>
      <c r="C71" s="44"/>
      <c r="D71" s="44"/>
      <c r="E71" s="134"/>
      <c r="F71" s="135"/>
      <c r="G71" s="134"/>
      <c r="H71" s="135"/>
      <c r="I71" s="134"/>
      <c r="J71" s="135"/>
    </row>
    <row r="72" spans="5:10" ht="12.75">
      <c r="E72" s="134"/>
      <c r="F72" s="135"/>
      <c r="G72" s="134"/>
      <c r="H72" s="135"/>
      <c r="I72" s="134"/>
      <c r="J72" s="135"/>
    </row>
    <row r="73" spans="5:10" ht="12.75">
      <c r="E73" s="134"/>
      <c r="F73" s="135"/>
      <c r="G73" s="134"/>
      <c r="H73" s="135"/>
      <c r="I73" s="134"/>
      <c r="J73" s="135"/>
    </row>
    <row r="74" spans="5:10" ht="12.75">
      <c r="E74" s="134"/>
      <c r="F74" s="135"/>
      <c r="G74" s="134"/>
      <c r="H74" s="135"/>
      <c r="I74" s="134"/>
      <c r="J74" s="135"/>
    </row>
    <row r="75" spans="5:10" ht="12.75">
      <c r="E75" s="134"/>
      <c r="F75" s="135"/>
      <c r="G75" s="134"/>
      <c r="H75" s="135"/>
      <c r="I75" s="134"/>
      <c r="J75" s="135"/>
    </row>
    <row r="76" spans="5:10" ht="12.75">
      <c r="E76" s="134"/>
      <c r="F76" s="135"/>
      <c r="G76" s="134"/>
      <c r="H76" s="135"/>
      <c r="I76" s="134"/>
      <c r="J76" s="135"/>
    </row>
    <row r="77" spans="5:10" ht="12.75">
      <c r="E77" s="134"/>
      <c r="F77" s="135"/>
      <c r="G77" s="134"/>
      <c r="H77" s="135"/>
      <c r="I77" s="134"/>
      <c r="J77" s="135"/>
    </row>
    <row r="78" spans="5:10" ht="12.75">
      <c r="E78" s="134"/>
      <c r="F78" s="135"/>
      <c r="G78" s="134"/>
      <c r="H78" s="135"/>
      <c r="I78" s="134"/>
      <c r="J78" s="135"/>
    </row>
    <row r="79" spans="5:10" ht="12.75">
      <c r="E79" s="134"/>
      <c r="F79" s="135"/>
      <c r="G79" s="134"/>
      <c r="H79" s="135"/>
      <c r="I79" s="134"/>
      <c r="J79" s="135"/>
    </row>
    <row r="80" spans="5:10" ht="12.75">
      <c r="E80" s="134"/>
      <c r="F80" s="135"/>
      <c r="G80" s="134"/>
      <c r="H80" s="135"/>
      <c r="I80" s="134"/>
      <c r="J80" s="135"/>
    </row>
    <row r="81" spans="5:10" ht="12.75">
      <c r="E81" s="134"/>
      <c r="F81" s="135"/>
      <c r="G81" s="134"/>
      <c r="H81" s="135"/>
      <c r="I81" s="134"/>
      <c r="J81" s="135"/>
    </row>
    <row r="82" spans="5:10" ht="12.75">
      <c r="E82" s="134"/>
      <c r="F82" s="135"/>
      <c r="G82" s="134"/>
      <c r="H82" s="135"/>
      <c r="I82" s="134"/>
      <c r="J82" s="135"/>
    </row>
    <row r="83" spans="5:10" ht="12.75">
      <c r="E83" s="134"/>
      <c r="F83" s="135"/>
      <c r="G83" s="134"/>
      <c r="H83" s="135"/>
      <c r="I83" s="134"/>
      <c r="J83" s="135"/>
    </row>
    <row r="84" spans="5:10" ht="12.75">
      <c r="E84" s="134"/>
      <c r="F84" s="135"/>
      <c r="G84" s="134"/>
      <c r="H84" s="135"/>
      <c r="I84" s="134"/>
      <c r="J84" s="135"/>
    </row>
    <row r="85" spans="5:10" ht="12.75">
      <c r="E85" s="134"/>
      <c r="F85" s="135"/>
      <c r="G85" s="134"/>
      <c r="H85" s="135"/>
      <c r="I85" s="134"/>
      <c r="J85" s="135"/>
    </row>
    <row r="86" spans="5:10" ht="12.75">
      <c r="E86" s="134"/>
      <c r="F86" s="135"/>
      <c r="G86" s="134"/>
      <c r="H86" s="135"/>
      <c r="I86" s="134"/>
      <c r="J86" s="135"/>
    </row>
    <row r="87" spans="5:10" ht="12.75">
      <c r="E87" s="134"/>
      <c r="F87" s="135"/>
      <c r="G87" s="134"/>
      <c r="H87" s="135"/>
      <c r="I87" s="134"/>
      <c r="J87" s="135"/>
    </row>
    <row r="88" spans="5:10" ht="12.75">
      <c r="E88" s="134"/>
      <c r="F88" s="135"/>
      <c r="G88" s="134"/>
      <c r="H88" s="135"/>
      <c r="I88" s="134"/>
      <c r="J88" s="135"/>
    </row>
    <row r="89" spans="5:10" ht="12.75">
      <c r="E89" s="134"/>
      <c r="F89" s="135"/>
      <c r="G89" s="134"/>
      <c r="H89" s="135"/>
      <c r="I89" s="134"/>
      <c r="J89" s="135"/>
    </row>
    <row r="90" spans="5:10" ht="12.75">
      <c r="E90" s="134"/>
      <c r="F90" s="135"/>
      <c r="G90" s="134"/>
      <c r="H90" s="135"/>
      <c r="I90" s="134"/>
      <c r="J90" s="135"/>
    </row>
    <row r="91" spans="5:10" ht="12.75">
      <c r="E91" s="134"/>
      <c r="F91" s="44"/>
      <c r="G91" s="134"/>
      <c r="H91" s="44"/>
      <c r="I91" s="134"/>
      <c r="J91" s="44"/>
    </row>
    <row r="92" spans="5:10" ht="12.75">
      <c r="E92" s="134"/>
      <c r="F92" s="44"/>
      <c r="G92" s="134"/>
      <c r="H92" s="44"/>
      <c r="I92" s="134"/>
      <c r="J92" s="44"/>
    </row>
  </sheetData>
  <sheetProtection/>
  <mergeCells count="1">
    <mergeCell ref="F2:G2"/>
  </mergeCells>
  <printOptions/>
  <pageMargins left="0.25" right="0" top="1" bottom="0" header="0.5" footer="0"/>
  <pageSetup horizontalDpi="300" verticalDpi="300" orientation="landscape" r:id="rId1"/>
  <headerFooter alignWithMargins="0">
    <oddHeader>&amp;RPage &amp;P of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J84"/>
  <sheetViews>
    <sheetView workbookViewId="0" topLeftCell="A45">
      <selection activeCell="H47" sqref="H47"/>
    </sheetView>
  </sheetViews>
  <sheetFormatPr defaultColWidth="8.8515625" defaultRowHeight="12.75"/>
  <cols>
    <col min="1" max="1" width="9.57421875" style="45" bestFit="1" customWidth="1"/>
    <col min="2" max="2" width="44.7109375" style="45" bestFit="1" customWidth="1"/>
    <col min="3" max="3" width="10.28125" style="45" customWidth="1"/>
    <col min="4" max="4" width="9.140625" style="45" bestFit="1" customWidth="1"/>
    <col min="5" max="5" width="7.28125" style="136" customWidth="1"/>
    <col min="6" max="6" width="10.28125" style="45" customWidth="1"/>
    <col min="7" max="7" width="7.28125" style="136" customWidth="1"/>
    <col min="8" max="8" width="14.00390625" style="45" bestFit="1" customWidth="1"/>
    <col min="9" max="9" width="7.28125" style="136" customWidth="1"/>
    <col min="10" max="10" width="10.28125" style="45" customWidth="1"/>
    <col min="11" max="16384" width="8.8515625" style="45" customWidth="1"/>
  </cols>
  <sheetData>
    <row r="1" spans="1:9" ht="12.75">
      <c r="A1" s="166" t="s">
        <v>446</v>
      </c>
      <c r="B1" s="195">
        <f>Spread!B1</f>
        <v>0</v>
      </c>
      <c r="C1" s="165" t="s">
        <v>370</v>
      </c>
      <c r="D1" s="196" t="e">
        <f>Spread!#REF!</f>
        <v>#REF!</v>
      </c>
      <c r="E1"/>
      <c r="F1" s="165" t="s">
        <v>371</v>
      </c>
      <c r="G1" s="51"/>
      <c r="H1" s="170" t="e">
        <f>Spread!#REF!</f>
        <v>#REF!</v>
      </c>
      <c r="I1" s="45"/>
    </row>
    <row r="2" spans="1:9" ht="12.75">
      <c r="A2" s="166"/>
      <c r="B2" s="195" t="e">
        <f>Spread!#REF!</f>
        <v>#REF!</v>
      </c>
      <c r="C2" s="51"/>
      <c r="D2" s="51"/>
      <c r="E2"/>
      <c r="F2" s="476" t="s">
        <v>447</v>
      </c>
      <c r="G2" s="476"/>
      <c r="H2" s="197" t="e">
        <f>Spread!#REF!</f>
        <v>#REF!</v>
      </c>
      <c r="I2" s="45"/>
    </row>
    <row r="3" spans="1:9" ht="12.75" customHeight="1">
      <c r="A3" s="168"/>
      <c r="B3" s="195">
        <f>Spread!B3</f>
        <v>0</v>
      </c>
      <c r="C3" s="165" t="s">
        <v>445</v>
      </c>
      <c r="D3" s="51" t="e">
        <f>Spread!#REF!</f>
        <v>#REF!</v>
      </c>
      <c r="E3" s="51"/>
      <c r="F3" s="51"/>
      <c r="G3" s="51"/>
      <c r="H3" s="51"/>
      <c r="I3" s="118"/>
    </row>
    <row r="4" spans="2:9" ht="12" customHeight="1">
      <c r="B4" s="119"/>
      <c r="E4" s="45"/>
      <c r="G4" s="45"/>
      <c r="I4" s="45"/>
    </row>
    <row r="5" spans="1:10" ht="12.75" customHeight="1">
      <c r="A5" s="120" t="s">
        <v>7</v>
      </c>
      <c r="B5" s="120" t="s">
        <v>0</v>
      </c>
      <c r="C5" s="120" t="s">
        <v>8</v>
      </c>
      <c r="D5" s="120" t="s">
        <v>9</v>
      </c>
      <c r="E5" s="121" t="s">
        <v>2</v>
      </c>
      <c r="F5" s="122"/>
      <c r="G5" s="121" t="s">
        <v>1</v>
      </c>
      <c r="H5" s="122"/>
      <c r="I5" s="121" t="s">
        <v>10</v>
      </c>
      <c r="J5" s="122"/>
    </row>
    <row r="6" spans="1:10" ht="12.75" customHeight="1" thickBot="1">
      <c r="A6" s="123"/>
      <c r="B6" s="123"/>
      <c r="C6" s="123"/>
      <c r="D6" s="123"/>
      <c r="E6" s="124" t="s">
        <v>11</v>
      </c>
      <c r="F6" s="123" t="s">
        <v>12</v>
      </c>
      <c r="G6" s="124" t="s">
        <v>11</v>
      </c>
      <c r="H6" s="123" t="s">
        <v>12</v>
      </c>
      <c r="I6" s="124" t="s">
        <v>13</v>
      </c>
      <c r="J6" s="123" t="s">
        <v>12</v>
      </c>
    </row>
    <row r="7" spans="1:10" ht="21" customHeight="1" thickTop="1">
      <c r="A7" s="41"/>
      <c r="B7" s="125" t="s">
        <v>27</v>
      </c>
      <c r="C7" s="41"/>
      <c r="D7" s="41"/>
      <c r="E7" s="126"/>
      <c r="F7" s="127"/>
      <c r="G7" s="126"/>
      <c r="H7" s="127"/>
      <c r="I7" s="126"/>
      <c r="J7" s="127"/>
    </row>
    <row r="8" spans="1:10" ht="21" customHeight="1">
      <c r="A8" s="60"/>
      <c r="B8" s="38" t="s">
        <v>194</v>
      </c>
      <c r="C8" s="60"/>
      <c r="D8" s="38" t="s">
        <v>15</v>
      </c>
      <c r="E8" s="46">
        <v>50</v>
      </c>
      <c r="F8" s="40">
        <f>C8*E8</f>
        <v>0</v>
      </c>
      <c r="G8" s="46">
        <v>150</v>
      </c>
      <c r="H8" s="40">
        <f>C8*G8</f>
        <v>0</v>
      </c>
      <c r="I8" s="46"/>
      <c r="J8" s="40">
        <f aca="true" t="shared" si="0" ref="J8:J15">C8*I8</f>
        <v>0</v>
      </c>
    </row>
    <row r="9" spans="1:10" ht="21" customHeight="1">
      <c r="A9" s="38"/>
      <c r="B9" s="38" t="s">
        <v>136</v>
      </c>
      <c r="C9" s="38"/>
      <c r="D9" s="38" t="s">
        <v>15</v>
      </c>
      <c r="E9" s="46">
        <v>50</v>
      </c>
      <c r="F9" s="40">
        <f aca="true" t="shared" si="1" ref="F9:F16">C9*E9</f>
        <v>0</v>
      </c>
      <c r="G9" s="46">
        <v>150</v>
      </c>
      <c r="H9" s="40">
        <f aca="true" t="shared" si="2" ref="H9:H16">C9*G9</f>
        <v>0</v>
      </c>
      <c r="I9" s="46"/>
      <c r="J9" s="40">
        <f t="shared" si="0"/>
        <v>0</v>
      </c>
    </row>
    <row r="10" spans="1:10" ht="21" customHeight="1">
      <c r="A10" s="38"/>
      <c r="B10" s="38" t="s">
        <v>203</v>
      </c>
      <c r="C10" s="38"/>
      <c r="D10" s="38" t="s">
        <v>15</v>
      </c>
      <c r="E10" s="46">
        <v>50</v>
      </c>
      <c r="F10" s="40">
        <f>C10*E10</f>
        <v>0</v>
      </c>
      <c r="G10" s="46">
        <v>190</v>
      </c>
      <c r="H10" s="40">
        <f>C10*G10</f>
        <v>0</v>
      </c>
      <c r="I10" s="46"/>
      <c r="J10" s="40">
        <f t="shared" si="0"/>
        <v>0</v>
      </c>
    </row>
    <row r="11" spans="1:10" ht="21" customHeight="1">
      <c r="A11" s="38"/>
      <c r="B11" s="38" t="s">
        <v>193</v>
      </c>
      <c r="C11" s="38"/>
      <c r="D11" s="38" t="s">
        <v>15</v>
      </c>
      <c r="E11" s="46">
        <v>60</v>
      </c>
      <c r="F11" s="40">
        <f t="shared" si="1"/>
        <v>0</v>
      </c>
      <c r="G11" s="46">
        <v>190</v>
      </c>
      <c r="H11" s="40">
        <f t="shared" si="2"/>
        <v>0</v>
      </c>
      <c r="I11" s="46"/>
      <c r="J11" s="40">
        <f t="shared" si="0"/>
        <v>0</v>
      </c>
    </row>
    <row r="12" spans="1:10" ht="21" customHeight="1">
      <c r="A12" s="38"/>
      <c r="B12" s="100" t="s">
        <v>622</v>
      </c>
      <c r="C12" s="38"/>
      <c r="D12" s="38" t="s">
        <v>15</v>
      </c>
      <c r="E12" s="46">
        <v>75</v>
      </c>
      <c r="F12" s="40">
        <f t="shared" si="1"/>
        <v>0</v>
      </c>
      <c r="G12" s="46">
        <v>150</v>
      </c>
      <c r="H12" s="40">
        <f t="shared" si="2"/>
        <v>0</v>
      </c>
      <c r="I12" s="46"/>
      <c r="J12" s="40">
        <f t="shared" si="0"/>
        <v>0</v>
      </c>
    </row>
    <row r="13" spans="1:10" ht="21" customHeight="1">
      <c r="A13" s="38"/>
      <c r="B13" s="100" t="s">
        <v>624</v>
      </c>
      <c r="C13" s="38"/>
      <c r="D13" s="38" t="s">
        <v>15</v>
      </c>
      <c r="E13" s="46">
        <v>25</v>
      </c>
      <c r="F13" s="40">
        <f t="shared" si="1"/>
        <v>0</v>
      </c>
      <c r="G13" s="46"/>
      <c r="H13" s="40">
        <f t="shared" si="2"/>
        <v>0</v>
      </c>
      <c r="I13" s="46"/>
      <c r="J13" s="40">
        <f t="shared" si="0"/>
        <v>0</v>
      </c>
    </row>
    <row r="14" spans="1:10" ht="21" customHeight="1">
      <c r="A14" s="38"/>
      <c r="B14" s="38" t="s">
        <v>530</v>
      </c>
      <c r="C14" s="38"/>
      <c r="D14" s="38" t="s">
        <v>15</v>
      </c>
      <c r="E14" s="46">
        <v>50</v>
      </c>
      <c r="F14" s="40">
        <f>C14*E14</f>
        <v>0</v>
      </c>
      <c r="G14" s="46">
        <v>3420</v>
      </c>
      <c r="H14" s="40">
        <f>C14*G14</f>
        <v>0</v>
      </c>
      <c r="I14" s="46"/>
      <c r="J14" s="40">
        <f t="shared" si="0"/>
        <v>0</v>
      </c>
    </row>
    <row r="15" spans="1:10" ht="21" customHeight="1">
      <c r="A15" s="38"/>
      <c r="B15" s="38" t="s">
        <v>135</v>
      </c>
      <c r="C15" s="38"/>
      <c r="D15" s="38" t="s">
        <v>15</v>
      </c>
      <c r="E15" s="46">
        <v>50</v>
      </c>
      <c r="F15" s="40">
        <f t="shared" si="1"/>
        <v>0</v>
      </c>
      <c r="G15" s="46">
        <v>425</v>
      </c>
      <c r="H15" s="40">
        <f t="shared" si="2"/>
        <v>0</v>
      </c>
      <c r="I15" s="46"/>
      <c r="J15" s="40">
        <f t="shared" si="0"/>
        <v>0</v>
      </c>
    </row>
    <row r="16" spans="1:10" ht="21" customHeight="1" thickBot="1">
      <c r="A16" s="38"/>
      <c r="B16" s="38" t="s">
        <v>54</v>
      </c>
      <c r="C16" s="38"/>
      <c r="D16" s="38" t="s">
        <v>15</v>
      </c>
      <c r="E16" s="46"/>
      <c r="F16" s="40">
        <f t="shared" si="1"/>
        <v>0</v>
      </c>
      <c r="G16" s="46"/>
      <c r="H16" s="40">
        <f t="shared" si="2"/>
        <v>0</v>
      </c>
      <c r="I16" s="46"/>
      <c r="J16" s="40" t="s">
        <v>64</v>
      </c>
    </row>
    <row r="17" spans="1:10" ht="21" customHeight="1" thickTop="1">
      <c r="A17" s="38"/>
      <c r="B17" s="38"/>
      <c r="C17" s="38"/>
      <c r="D17" s="38"/>
      <c r="E17" s="90"/>
      <c r="F17" s="104">
        <f>SUM(F8:F16)</f>
        <v>0</v>
      </c>
      <c r="G17" s="90"/>
      <c r="H17" s="104">
        <f>SUM(H8:H16)</f>
        <v>0</v>
      </c>
      <c r="I17" s="90"/>
      <c r="J17" s="104">
        <f>SUM(J9:J16)</f>
        <v>0</v>
      </c>
    </row>
    <row r="18" spans="1:10" ht="21" customHeight="1">
      <c r="A18" s="38"/>
      <c r="B18" s="231" t="s">
        <v>483</v>
      </c>
      <c r="C18" s="233">
        <f>SUM(F17,H17,J17)</f>
        <v>0</v>
      </c>
      <c r="D18" s="38"/>
      <c r="E18" s="46"/>
      <c r="F18" s="40"/>
      <c r="G18" s="46"/>
      <c r="H18" s="40"/>
      <c r="I18" s="46"/>
      <c r="J18" s="40"/>
    </row>
    <row r="19" spans="1:10" ht="12" customHeight="1">
      <c r="A19" s="38"/>
      <c r="B19" s="38"/>
      <c r="C19" s="38"/>
      <c r="D19" s="38"/>
      <c r="E19" s="46"/>
      <c r="F19" s="40"/>
      <c r="G19" s="46"/>
      <c r="H19" s="40"/>
      <c r="I19" s="46"/>
      <c r="J19" s="40"/>
    </row>
    <row r="20" spans="1:10" ht="21" customHeight="1">
      <c r="A20" s="38"/>
      <c r="B20" s="105" t="s">
        <v>132</v>
      </c>
      <c r="C20" s="38"/>
      <c r="D20" s="38"/>
      <c r="E20" s="46"/>
      <c r="F20" s="40"/>
      <c r="G20" s="46"/>
      <c r="H20" s="40"/>
      <c r="I20" s="46"/>
      <c r="J20" s="40"/>
    </row>
    <row r="21" spans="1:10" ht="21" customHeight="1">
      <c r="A21" s="38"/>
      <c r="B21" s="147" t="s">
        <v>582</v>
      </c>
      <c r="C21" s="38"/>
      <c r="D21" s="38" t="s">
        <v>15</v>
      </c>
      <c r="E21" s="46"/>
      <c r="F21" s="40">
        <f>C21*E21</f>
        <v>0</v>
      </c>
      <c r="G21" s="46"/>
      <c r="H21" s="40">
        <f>C21*G21</f>
        <v>0</v>
      </c>
      <c r="I21" s="46"/>
      <c r="J21" s="40">
        <f>C21*I21</f>
        <v>0</v>
      </c>
    </row>
    <row r="22" spans="1:10" ht="21" customHeight="1">
      <c r="A22" s="38"/>
      <c r="B22" s="147" t="s">
        <v>583</v>
      </c>
      <c r="C22" s="38"/>
      <c r="D22" s="38" t="s">
        <v>15</v>
      </c>
      <c r="E22" s="46">
        <v>65</v>
      </c>
      <c r="F22" s="40">
        <f aca="true" t="shared" si="3" ref="F22:F28">C22*E22</f>
        <v>0</v>
      </c>
      <c r="G22" s="46">
        <v>250</v>
      </c>
      <c r="H22" s="40">
        <f aca="true" t="shared" si="4" ref="H22:H28">C22*G22</f>
        <v>0</v>
      </c>
      <c r="I22" s="46"/>
      <c r="J22" s="40">
        <f aca="true" t="shared" si="5" ref="J22:J28">C22*I22</f>
        <v>0</v>
      </c>
    </row>
    <row r="23" spans="1:10" ht="21" customHeight="1">
      <c r="A23" s="38"/>
      <c r="B23" s="147" t="s">
        <v>584</v>
      </c>
      <c r="C23" s="38"/>
      <c r="D23" s="38" t="s">
        <v>15</v>
      </c>
      <c r="E23" s="46">
        <v>75</v>
      </c>
      <c r="F23" s="40">
        <f t="shared" si="3"/>
        <v>0</v>
      </c>
      <c r="G23" s="46">
        <v>350</v>
      </c>
      <c r="H23" s="40">
        <f t="shared" si="4"/>
        <v>0</v>
      </c>
      <c r="I23" s="46"/>
      <c r="J23" s="40">
        <f t="shared" si="5"/>
        <v>0</v>
      </c>
    </row>
    <row r="24" spans="1:10" ht="21" customHeight="1">
      <c r="A24" s="38"/>
      <c r="B24" s="147" t="s">
        <v>588</v>
      </c>
      <c r="C24" s="38"/>
      <c r="D24" s="38" t="s">
        <v>15</v>
      </c>
      <c r="E24" s="46">
        <v>75</v>
      </c>
      <c r="F24" s="40">
        <f>C24*E24</f>
        <v>0</v>
      </c>
      <c r="G24" s="46">
        <v>300</v>
      </c>
      <c r="H24" s="40">
        <f>C24*G24</f>
        <v>0</v>
      </c>
      <c r="I24" s="46"/>
      <c r="J24" s="40">
        <f>C24*I24</f>
        <v>0</v>
      </c>
    </row>
    <row r="25" spans="1:10" ht="21" customHeight="1">
      <c r="A25" s="38"/>
      <c r="B25" s="147" t="s">
        <v>585</v>
      </c>
      <c r="C25" s="38"/>
      <c r="D25" s="38" t="s">
        <v>15</v>
      </c>
      <c r="E25" s="46">
        <v>75</v>
      </c>
      <c r="F25" s="40">
        <f t="shared" si="3"/>
        <v>0</v>
      </c>
      <c r="G25" s="46">
        <v>400</v>
      </c>
      <c r="H25" s="40">
        <f t="shared" si="4"/>
        <v>0</v>
      </c>
      <c r="I25" s="46"/>
      <c r="J25" s="40">
        <f t="shared" si="5"/>
        <v>0</v>
      </c>
    </row>
    <row r="26" spans="1:10" ht="21" customHeight="1">
      <c r="A26" s="38"/>
      <c r="B26" s="147" t="s">
        <v>586</v>
      </c>
      <c r="C26" s="38"/>
      <c r="D26" s="38" t="s">
        <v>15</v>
      </c>
      <c r="E26" s="46">
        <v>50</v>
      </c>
      <c r="F26" s="40">
        <f t="shared" si="3"/>
        <v>0</v>
      </c>
      <c r="G26" s="46">
        <v>250</v>
      </c>
      <c r="H26" s="40">
        <f t="shared" si="4"/>
        <v>0</v>
      </c>
      <c r="I26" s="46"/>
      <c r="J26" s="40">
        <f t="shared" si="5"/>
        <v>0</v>
      </c>
    </row>
    <row r="27" spans="1:10" ht="21" customHeight="1">
      <c r="A27" s="38"/>
      <c r="B27" s="147" t="s">
        <v>587</v>
      </c>
      <c r="C27" s="38"/>
      <c r="D27" s="38" t="s">
        <v>15</v>
      </c>
      <c r="E27" s="46">
        <v>50</v>
      </c>
      <c r="F27" s="40">
        <f t="shared" si="3"/>
        <v>0</v>
      </c>
      <c r="G27" s="46">
        <v>500</v>
      </c>
      <c r="H27" s="40">
        <f t="shared" si="4"/>
        <v>0</v>
      </c>
      <c r="I27" s="46"/>
      <c r="J27" s="40">
        <f t="shared" si="5"/>
        <v>0</v>
      </c>
    </row>
    <row r="28" spans="1:10" ht="21" customHeight="1">
      <c r="A28" s="38"/>
      <c r="B28" s="106" t="s">
        <v>133</v>
      </c>
      <c r="C28" s="38"/>
      <c r="D28" s="38" t="s">
        <v>15</v>
      </c>
      <c r="E28" s="46">
        <v>50</v>
      </c>
      <c r="F28" s="40">
        <f t="shared" si="3"/>
        <v>0</v>
      </c>
      <c r="G28" s="46">
        <v>500</v>
      </c>
      <c r="H28" s="40">
        <f t="shared" si="4"/>
        <v>0</v>
      </c>
      <c r="I28" s="46"/>
      <c r="J28" s="40">
        <f t="shared" si="5"/>
        <v>0</v>
      </c>
    </row>
    <row r="29" spans="1:10" ht="21" customHeight="1">
      <c r="A29" s="38"/>
      <c r="B29" s="147" t="s">
        <v>624</v>
      </c>
      <c r="C29" s="38"/>
      <c r="D29" s="38" t="s">
        <v>15</v>
      </c>
      <c r="E29" s="46">
        <v>25</v>
      </c>
      <c r="F29" s="40">
        <f>C29*E29</f>
        <v>0</v>
      </c>
      <c r="G29" s="46"/>
      <c r="H29" s="40">
        <f>C29*G29</f>
        <v>0</v>
      </c>
      <c r="I29" s="46"/>
      <c r="J29" s="40">
        <f>C29*I29</f>
        <v>0</v>
      </c>
    </row>
    <row r="30" spans="1:10" ht="21" customHeight="1" thickBot="1">
      <c r="A30" s="38"/>
      <c r="B30" s="106"/>
      <c r="C30" s="38"/>
      <c r="D30" s="38" t="s">
        <v>134</v>
      </c>
      <c r="E30" s="46"/>
      <c r="F30" s="40">
        <f>C30*E30</f>
        <v>0</v>
      </c>
      <c r="G30" s="46">
        <v>200</v>
      </c>
      <c r="H30" s="40">
        <f>C30*G30</f>
        <v>0</v>
      </c>
      <c r="I30" s="46"/>
      <c r="J30" s="40">
        <f>C30*I30</f>
        <v>0</v>
      </c>
    </row>
    <row r="31" spans="1:10" ht="21" customHeight="1" thickTop="1">
      <c r="A31" s="38"/>
      <c r="B31" s="38"/>
      <c r="C31" s="38"/>
      <c r="D31" s="38"/>
      <c r="E31" s="90"/>
      <c r="F31" s="104">
        <f>SUM(F21:F30)</f>
        <v>0</v>
      </c>
      <c r="G31" s="90"/>
      <c r="H31" s="104">
        <f>SUM(H21:H30)</f>
        <v>0</v>
      </c>
      <c r="I31" s="90"/>
      <c r="J31" s="104">
        <f>SUM(J28:J30)</f>
        <v>0</v>
      </c>
    </row>
    <row r="32" spans="1:10" ht="21" customHeight="1">
      <c r="A32" s="38"/>
      <c r="B32" s="231" t="s">
        <v>484</v>
      </c>
      <c r="C32" s="232">
        <f>F31+H31+J31</f>
        <v>0</v>
      </c>
      <c r="D32" s="38"/>
      <c r="E32" s="107"/>
      <c r="F32" s="84"/>
      <c r="G32" s="46"/>
      <c r="H32" s="40"/>
      <c r="I32" s="46"/>
      <c r="J32" s="40"/>
    </row>
    <row r="33" spans="1:10" ht="12" customHeight="1">
      <c r="A33" s="38"/>
      <c r="B33" s="106"/>
      <c r="C33" s="38"/>
      <c r="D33" s="38"/>
      <c r="E33" s="46"/>
      <c r="F33" s="40"/>
      <c r="G33" s="46"/>
      <c r="H33" s="40"/>
      <c r="I33" s="46"/>
      <c r="J33" s="40"/>
    </row>
    <row r="34" spans="1:10" ht="21" customHeight="1">
      <c r="A34" s="38"/>
      <c r="B34" s="105" t="s">
        <v>381</v>
      </c>
      <c r="C34" s="38"/>
      <c r="D34" s="38"/>
      <c r="E34" s="46"/>
      <c r="F34" s="40"/>
      <c r="G34" s="46"/>
      <c r="H34" s="40"/>
      <c r="I34" s="46"/>
      <c r="J34" s="40"/>
    </row>
    <row r="35" spans="1:10" ht="21" customHeight="1">
      <c r="A35" s="38"/>
      <c r="B35" s="106"/>
      <c r="C35" s="38"/>
      <c r="D35" s="38" t="s">
        <v>15</v>
      </c>
      <c r="E35" s="46"/>
      <c r="F35" s="40">
        <f aca="true" t="shared" si="6" ref="F35:F41">C35*E35</f>
        <v>0</v>
      </c>
      <c r="G35" s="46"/>
      <c r="H35" s="40">
        <f aca="true" t="shared" si="7" ref="H35:H41">C35*G35</f>
        <v>0</v>
      </c>
      <c r="I35" s="46"/>
      <c r="J35" s="40">
        <f aca="true" t="shared" si="8" ref="J35:J41">C35*I35</f>
        <v>0</v>
      </c>
    </row>
    <row r="36" spans="1:10" ht="21" customHeight="1">
      <c r="A36" s="38"/>
      <c r="B36" s="106"/>
      <c r="C36" s="38"/>
      <c r="D36" s="38" t="s">
        <v>15</v>
      </c>
      <c r="E36" s="46"/>
      <c r="F36" s="40">
        <f t="shared" si="6"/>
        <v>0</v>
      </c>
      <c r="G36" s="46"/>
      <c r="H36" s="40">
        <f t="shared" si="7"/>
        <v>0</v>
      </c>
      <c r="I36" s="46"/>
      <c r="J36" s="40">
        <f t="shared" si="8"/>
        <v>0</v>
      </c>
    </row>
    <row r="37" spans="1:10" ht="21" customHeight="1">
      <c r="A37" s="38"/>
      <c r="B37" s="106"/>
      <c r="C37" s="38"/>
      <c r="D37" s="38" t="s">
        <v>15</v>
      </c>
      <c r="E37" s="46"/>
      <c r="F37" s="40">
        <f t="shared" si="6"/>
        <v>0</v>
      </c>
      <c r="G37" s="46"/>
      <c r="H37" s="40">
        <f t="shared" si="7"/>
        <v>0</v>
      </c>
      <c r="I37" s="46"/>
      <c r="J37" s="40">
        <f t="shared" si="8"/>
        <v>0</v>
      </c>
    </row>
    <row r="38" spans="1:10" ht="21" customHeight="1">
      <c r="A38" s="38"/>
      <c r="B38" s="106"/>
      <c r="C38" s="38"/>
      <c r="D38" s="38" t="s">
        <v>134</v>
      </c>
      <c r="E38" s="46"/>
      <c r="F38" s="40">
        <f t="shared" si="6"/>
        <v>0</v>
      </c>
      <c r="G38" s="46">
        <v>0</v>
      </c>
      <c r="H38" s="40">
        <f t="shared" si="7"/>
        <v>0</v>
      </c>
      <c r="I38" s="46"/>
      <c r="J38" s="40">
        <f t="shared" si="8"/>
        <v>0</v>
      </c>
    </row>
    <row r="39" spans="1:10" ht="21" customHeight="1">
      <c r="A39" s="38"/>
      <c r="B39" s="106"/>
      <c r="C39" s="38"/>
      <c r="D39" s="38" t="s">
        <v>134</v>
      </c>
      <c r="E39" s="46"/>
      <c r="F39" s="40">
        <f t="shared" si="6"/>
        <v>0</v>
      </c>
      <c r="G39" s="46"/>
      <c r="H39" s="40">
        <f t="shared" si="7"/>
        <v>0</v>
      </c>
      <c r="I39" s="46"/>
      <c r="J39" s="40">
        <f t="shared" si="8"/>
        <v>0</v>
      </c>
    </row>
    <row r="40" spans="1:10" ht="21" customHeight="1">
      <c r="A40" s="38"/>
      <c r="B40" s="106"/>
      <c r="C40" s="38"/>
      <c r="D40" s="38" t="s">
        <v>134</v>
      </c>
      <c r="E40" s="46"/>
      <c r="F40" s="40">
        <f t="shared" si="6"/>
        <v>0</v>
      </c>
      <c r="G40" s="46"/>
      <c r="H40" s="40">
        <f t="shared" si="7"/>
        <v>0</v>
      </c>
      <c r="I40" s="46"/>
      <c r="J40" s="40">
        <f t="shared" si="8"/>
        <v>0</v>
      </c>
    </row>
    <row r="41" spans="1:10" ht="21" customHeight="1" thickBot="1">
      <c r="A41" s="38"/>
      <c r="B41" s="106"/>
      <c r="C41" s="38"/>
      <c r="D41" s="38" t="s">
        <v>134</v>
      </c>
      <c r="E41" s="46"/>
      <c r="F41" s="40">
        <f t="shared" si="6"/>
        <v>0</v>
      </c>
      <c r="G41" s="46"/>
      <c r="H41" s="40">
        <f t="shared" si="7"/>
        <v>0</v>
      </c>
      <c r="I41" s="46"/>
      <c r="J41" s="40">
        <f t="shared" si="8"/>
        <v>0</v>
      </c>
    </row>
    <row r="42" spans="1:10" ht="21" customHeight="1" thickTop="1">
      <c r="A42" s="38"/>
      <c r="B42" s="38"/>
      <c r="C42" s="38"/>
      <c r="D42" s="38"/>
      <c r="E42" s="90"/>
      <c r="F42" s="104">
        <f>SUM(F35:F41)</f>
        <v>0</v>
      </c>
      <c r="G42" s="90"/>
      <c r="H42" s="104">
        <f>SUM(H35:H41)</f>
        <v>0</v>
      </c>
      <c r="I42" s="90"/>
      <c r="J42" s="104">
        <f>SUM(J36:J41)</f>
        <v>0</v>
      </c>
    </row>
    <row r="43" spans="1:10" ht="21" customHeight="1">
      <c r="A43" s="38"/>
      <c r="B43" s="231" t="s">
        <v>485</v>
      </c>
      <c r="C43" s="232">
        <f>F42+H42+J42</f>
        <v>0</v>
      </c>
      <c r="D43" s="38"/>
      <c r="E43" s="107"/>
      <c r="F43" s="84"/>
      <c r="G43" s="46"/>
      <c r="H43" s="40"/>
      <c r="I43" s="46"/>
      <c r="J43" s="40"/>
    </row>
    <row r="44" spans="1:10" ht="12" customHeight="1">
      <c r="A44" s="38"/>
      <c r="B44" s="106"/>
      <c r="C44" s="38"/>
      <c r="D44" s="38"/>
      <c r="E44" s="46"/>
      <c r="F44" s="40"/>
      <c r="G44" s="46"/>
      <c r="H44" s="40"/>
      <c r="I44" s="46"/>
      <c r="J44" s="40"/>
    </row>
    <row r="45" spans="1:10" ht="21" customHeight="1">
      <c r="A45" s="38"/>
      <c r="B45" s="110" t="s">
        <v>28</v>
      </c>
      <c r="C45" s="38"/>
      <c r="D45" s="38"/>
      <c r="E45" s="46"/>
      <c r="F45" s="40"/>
      <c r="G45" s="46"/>
      <c r="H45" s="40"/>
      <c r="I45" s="46"/>
      <c r="J45" s="40"/>
    </row>
    <row r="46" spans="1:10" ht="21" customHeight="1">
      <c r="A46" s="38"/>
      <c r="B46" s="38" t="s">
        <v>528</v>
      </c>
      <c r="C46" s="38"/>
      <c r="D46" s="38" t="s">
        <v>15</v>
      </c>
      <c r="E46" s="46">
        <v>130</v>
      </c>
      <c r="F46" s="40">
        <f>C46*E46</f>
        <v>0</v>
      </c>
      <c r="G46" s="46">
        <v>450</v>
      </c>
      <c r="H46" s="40">
        <f>C46*G46</f>
        <v>0</v>
      </c>
      <c r="I46" s="46"/>
      <c r="J46" s="40">
        <f>C46*I46</f>
        <v>0</v>
      </c>
    </row>
    <row r="47" spans="1:10" ht="21" customHeight="1">
      <c r="A47" s="38"/>
      <c r="B47" s="100" t="s">
        <v>623</v>
      </c>
      <c r="C47" s="38"/>
      <c r="D47" s="38" t="s">
        <v>15</v>
      </c>
      <c r="E47" s="46">
        <v>25</v>
      </c>
      <c r="F47" s="40">
        <f>C47*E47</f>
        <v>0</v>
      </c>
      <c r="G47" s="46"/>
      <c r="H47" s="40">
        <f>C47*G47</f>
        <v>0</v>
      </c>
      <c r="I47" s="46"/>
      <c r="J47" s="40">
        <f>C47*I47</f>
        <v>0</v>
      </c>
    </row>
    <row r="48" spans="1:10" ht="21" customHeight="1" thickBot="1">
      <c r="A48" s="38"/>
      <c r="B48" s="38" t="s">
        <v>529</v>
      </c>
      <c r="C48" s="38"/>
      <c r="D48" s="38" t="s">
        <v>15</v>
      </c>
      <c r="E48" s="46"/>
      <c r="F48" s="40">
        <f>C48*E48</f>
        <v>0</v>
      </c>
      <c r="G48" s="46">
        <v>1000</v>
      </c>
      <c r="H48" s="40">
        <f>C48*G48</f>
        <v>0</v>
      </c>
      <c r="I48" s="46"/>
      <c r="J48" s="40">
        <f>C48*I48</f>
        <v>0</v>
      </c>
    </row>
    <row r="49" spans="1:10" ht="21" customHeight="1" thickTop="1">
      <c r="A49" s="38"/>
      <c r="B49" s="38"/>
      <c r="C49" s="38"/>
      <c r="D49" s="38"/>
      <c r="E49" s="90"/>
      <c r="F49" s="104">
        <f>SUM(F46:F48)</f>
        <v>0</v>
      </c>
      <c r="G49" s="90"/>
      <c r="H49" s="104">
        <f>SUM(H46:H48)</f>
        <v>0</v>
      </c>
      <c r="I49" s="90"/>
      <c r="J49" s="104">
        <f>SUM(J46:J48)</f>
        <v>0</v>
      </c>
    </row>
    <row r="50" spans="1:10" ht="21" customHeight="1">
      <c r="A50" s="38"/>
      <c r="B50" s="231" t="s">
        <v>486</v>
      </c>
      <c r="C50" s="233">
        <f>SUM(F49,J49,H49)</f>
        <v>0</v>
      </c>
      <c r="D50" s="38"/>
      <c r="E50" s="46"/>
      <c r="F50" s="40"/>
      <c r="G50" s="46"/>
      <c r="H50" s="40"/>
      <c r="I50" s="46"/>
      <c r="J50" s="40"/>
    </row>
    <row r="51" spans="1:10" ht="21" customHeight="1">
      <c r="A51" s="38"/>
      <c r="B51" s="71"/>
      <c r="C51" s="54"/>
      <c r="D51" s="38"/>
      <c r="E51" s="46"/>
      <c r="F51" s="40"/>
      <c r="G51" s="46"/>
      <c r="H51" s="40"/>
      <c r="I51" s="46"/>
      <c r="J51" s="40"/>
    </row>
    <row r="52" spans="1:10" ht="21" customHeight="1">
      <c r="A52" s="38"/>
      <c r="B52" s="71"/>
      <c r="C52" s="54"/>
      <c r="D52" s="38"/>
      <c r="E52" s="46"/>
      <c r="F52" s="40"/>
      <c r="G52" s="46"/>
      <c r="H52" s="40"/>
      <c r="I52" s="46"/>
      <c r="J52" s="40"/>
    </row>
    <row r="53" spans="1:10" ht="21" customHeight="1">
      <c r="A53" s="38"/>
      <c r="B53" s="113"/>
      <c r="C53" s="39"/>
      <c r="D53" s="38"/>
      <c r="E53" s="46"/>
      <c r="F53" s="40"/>
      <c r="G53" s="46"/>
      <c r="H53" s="40"/>
      <c r="I53" s="46"/>
      <c r="J53" s="40"/>
    </row>
    <row r="54" spans="1:10" ht="21" customHeight="1">
      <c r="A54" s="38"/>
      <c r="B54" s="65" t="s">
        <v>29</v>
      </c>
      <c r="C54" s="66"/>
      <c r="D54" s="66"/>
      <c r="E54" s="46"/>
      <c r="F54" s="40"/>
      <c r="G54" s="46"/>
      <c r="H54" s="40"/>
      <c r="I54" s="46"/>
      <c r="J54" s="40"/>
    </row>
    <row r="55" spans="1:10" ht="21" customHeight="1">
      <c r="A55" s="38"/>
      <c r="B55" s="67" t="s">
        <v>30</v>
      </c>
      <c r="C55" s="68">
        <f>C18+C50</f>
        <v>0</v>
      </c>
      <c r="D55" s="69"/>
      <c r="E55" s="46"/>
      <c r="F55" s="40"/>
      <c r="G55" s="46"/>
      <c r="H55" s="40"/>
      <c r="I55" s="46"/>
      <c r="J55" s="40"/>
    </row>
    <row r="56" spans="1:10" ht="21" customHeight="1" thickBot="1">
      <c r="A56" s="38"/>
      <c r="B56" s="71" t="s">
        <v>31</v>
      </c>
      <c r="C56" s="70">
        <f>SUM(C8:C14)</f>
        <v>0</v>
      </c>
      <c r="D56" s="66" t="s">
        <v>15</v>
      </c>
      <c r="E56" s="46"/>
      <c r="F56" s="40"/>
      <c r="G56" s="46"/>
      <c r="H56" s="40"/>
      <c r="I56" s="46"/>
      <c r="J56" s="40"/>
    </row>
    <row r="57" spans="1:10" ht="21" customHeight="1" thickTop="1">
      <c r="A57" s="38"/>
      <c r="B57" s="67" t="s">
        <v>32</v>
      </c>
      <c r="C57" s="72" t="e">
        <f>C55/C56</f>
        <v>#DIV/0!</v>
      </c>
      <c r="D57" s="69"/>
      <c r="E57" s="46"/>
      <c r="F57" s="40"/>
      <c r="G57" s="46"/>
      <c r="H57" s="40"/>
      <c r="I57" s="46"/>
      <c r="J57" s="40"/>
    </row>
    <row r="58" spans="1:10" ht="21" customHeight="1">
      <c r="A58" s="38"/>
      <c r="B58" s="113"/>
      <c r="C58" s="39"/>
      <c r="D58" s="38"/>
      <c r="E58" s="46"/>
      <c r="F58" s="40"/>
      <c r="G58" s="46"/>
      <c r="H58" s="40"/>
      <c r="I58" s="46"/>
      <c r="J58" s="40"/>
    </row>
    <row r="59" spans="1:10" ht="21" customHeight="1">
      <c r="A59" s="43"/>
      <c r="B59" s="141"/>
      <c r="C59" s="142"/>
      <c r="D59" s="43"/>
      <c r="E59" s="132"/>
      <c r="F59" s="133"/>
      <c r="G59" s="132"/>
      <c r="H59" s="133"/>
      <c r="I59" s="132"/>
      <c r="J59" s="133"/>
    </row>
    <row r="60" spans="1:10" ht="12.75">
      <c r="A60" s="44"/>
      <c r="B60" s="44"/>
      <c r="C60" s="44"/>
      <c r="D60" s="44"/>
      <c r="E60" s="134"/>
      <c r="F60" s="135"/>
      <c r="G60" s="134"/>
      <c r="H60" s="135"/>
      <c r="I60" s="134"/>
      <c r="J60" s="135"/>
    </row>
    <row r="61" spans="1:10" ht="12.75">
      <c r="A61" s="44"/>
      <c r="B61" s="44"/>
      <c r="C61" s="44"/>
      <c r="D61" s="44"/>
      <c r="E61" s="134"/>
      <c r="F61" s="135"/>
      <c r="G61" s="134"/>
      <c r="H61" s="135"/>
      <c r="I61" s="134"/>
      <c r="J61" s="135"/>
    </row>
    <row r="62" spans="1:10" ht="12.75">
      <c r="A62" s="44"/>
      <c r="B62" s="44"/>
      <c r="C62" s="44"/>
      <c r="D62" s="44"/>
      <c r="E62" s="134"/>
      <c r="F62" s="135"/>
      <c r="G62" s="134"/>
      <c r="H62" s="135"/>
      <c r="I62" s="134"/>
      <c r="J62" s="135"/>
    </row>
    <row r="63" spans="1:10" ht="12.75">
      <c r="A63" s="44"/>
      <c r="B63" s="44"/>
      <c r="C63" s="44"/>
      <c r="D63" s="44"/>
      <c r="E63" s="134"/>
      <c r="F63" s="135"/>
      <c r="G63" s="134"/>
      <c r="H63" s="135"/>
      <c r="I63" s="134"/>
      <c r="J63" s="135"/>
    </row>
    <row r="64" spans="5:10" ht="12.75">
      <c r="E64" s="134"/>
      <c r="F64" s="135"/>
      <c r="G64" s="134"/>
      <c r="H64" s="135"/>
      <c r="I64" s="134"/>
      <c r="J64" s="135"/>
    </row>
    <row r="65" spans="5:10" ht="12.75">
      <c r="E65" s="134"/>
      <c r="F65" s="135"/>
      <c r="G65" s="134"/>
      <c r="H65" s="135"/>
      <c r="I65" s="134"/>
      <c r="J65" s="135"/>
    </row>
    <row r="66" spans="5:10" ht="12.75">
      <c r="E66" s="134"/>
      <c r="F66" s="135"/>
      <c r="G66" s="134"/>
      <c r="H66" s="135"/>
      <c r="I66" s="134"/>
      <c r="J66" s="135"/>
    </row>
    <row r="67" spans="5:10" ht="12.75">
      <c r="E67" s="134"/>
      <c r="F67" s="135"/>
      <c r="G67" s="134"/>
      <c r="H67" s="135"/>
      <c r="I67" s="134"/>
      <c r="J67" s="135"/>
    </row>
    <row r="68" spans="5:10" ht="12.75">
      <c r="E68" s="134"/>
      <c r="F68" s="135"/>
      <c r="G68" s="134"/>
      <c r="H68" s="135"/>
      <c r="I68" s="134"/>
      <c r="J68" s="135"/>
    </row>
    <row r="69" spans="5:10" ht="12.75">
      <c r="E69" s="134"/>
      <c r="F69" s="135"/>
      <c r="G69" s="134"/>
      <c r="H69" s="135"/>
      <c r="I69" s="134"/>
      <c r="J69" s="135"/>
    </row>
    <row r="70" spans="5:10" ht="12.75">
      <c r="E70" s="134"/>
      <c r="F70" s="135"/>
      <c r="G70" s="134"/>
      <c r="H70" s="135"/>
      <c r="I70" s="134"/>
      <c r="J70" s="135"/>
    </row>
    <row r="71" spans="5:10" ht="12.75">
      <c r="E71" s="134"/>
      <c r="F71" s="135"/>
      <c r="G71" s="134"/>
      <c r="H71" s="135"/>
      <c r="I71" s="134"/>
      <c r="J71" s="135"/>
    </row>
    <row r="72" spans="5:10" ht="12.75">
      <c r="E72" s="134"/>
      <c r="F72" s="135"/>
      <c r="G72" s="134"/>
      <c r="H72" s="135"/>
      <c r="I72" s="134"/>
      <c r="J72" s="135"/>
    </row>
    <row r="73" spans="5:10" ht="12.75">
      <c r="E73" s="134"/>
      <c r="F73" s="135"/>
      <c r="G73" s="134"/>
      <c r="H73" s="135"/>
      <c r="I73" s="134"/>
      <c r="J73" s="135"/>
    </row>
    <row r="74" spans="5:10" ht="12.75">
      <c r="E74" s="134"/>
      <c r="F74" s="135"/>
      <c r="G74" s="134"/>
      <c r="H74" s="135"/>
      <c r="I74" s="134"/>
      <c r="J74" s="135"/>
    </row>
    <row r="75" spans="5:10" ht="12.75">
      <c r="E75" s="134"/>
      <c r="F75" s="135"/>
      <c r="G75" s="134"/>
      <c r="H75" s="135"/>
      <c r="I75" s="134"/>
      <c r="J75" s="135"/>
    </row>
    <row r="76" spans="5:10" ht="12.75">
      <c r="E76" s="134"/>
      <c r="F76" s="135"/>
      <c r="G76" s="134"/>
      <c r="H76" s="135"/>
      <c r="I76" s="134"/>
      <c r="J76" s="135"/>
    </row>
    <row r="77" spans="5:10" ht="12.75">
      <c r="E77" s="134"/>
      <c r="F77" s="135"/>
      <c r="G77" s="134"/>
      <c r="H77" s="135"/>
      <c r="I77" s="134"/>
      <c r="J77" s="135"/>
    </row>
    <row r="78" spans="5:10" ht="12.75">
      <c r="E78" s="134"/>
      <c r="F78" s="135"/>
      <c r="G78" s="134"/>
      <c r="H78" s="135"/>
      <c r="I78" s="134"/>
      <c r="J78" s="135"/>
    </row>
    <row r="79" spans="5:10" ht="12.75">
      <c r="E79" s="134"/>
      <c r="F79" s="135"/>
      <c r="G79" s="134"/>
      <c r="H79" s="135"/>
      <c r="I79" s="134"/>
      <c r="J79" s="135"/>
    </row>
    <row r="80" spans="5:10" ht="12.75">
      <c r="E80" s="134"/>
      <c r="F80" s="135"/>
      <c r="G80" s="134"/>
      <c r="H80" s="135"/>
      <c r="I80" s="134"/>
      <c r="J80" s="135"/>
    </row>
    <row r="81" spans="5:10" ht="12.75">
      <c r="E81" s="134"/>
      <c r="F81" s="135"/>
      <c r="G81" s="134"/>
      <c r="H81" s="135"/>
      <c r="I81" s="134"/>
      <c r="J81" s="135"/>
    </row>
    <row r="82" spans="5:10" ht="12.75">
      <c r="E82" s="134"/>
      <c r="F82" s="135"/>
      <c r="G82" s="134"/>
      <c r="H82" s="135"/>
      <c r="I82" s="134"/>
      <c r="J82" s="135"/>
    </row>
    <row r="83" spans="5:10" ht="12.75">
      <c r="E83" s="134"/>
      <c r="F83" s="44"/>
      <c r="G83" s="134"/>
      <c r="H83" s="44"/>
      <c r="I83" s="134"/>
      <c r="J83" s="44"/>
    </row>
    <row r="84" spans="5:10" ht="12.75">
      <c r="E84" s="134"/>
      <c r="F84" s="44"/>
      <c r="G84" s="134"/>
      <c r="H84" s="44"/>
      <c r="I84" s="134"/>
      <c r="J84" s="44"/>
    </row>
  </sheetData>
  <sheetProtection/>
  <mergeCells count="1">
    <mergeCell ref="F2:G2"/>
  </mergeCells>
  <printOptions/>
  <pageMargins left="0.25" right="0" top="1" bottom="0" header="0.5" footer="0"/>
  <pageSetup horizontalDpi="300" verticalDpi="300" orientation="landscape" r:id="rId1"/>
  <headerFooter alignWithMargins="0"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Beck</dc:creator>
  <cp:keywords/>
  <dc:description/>
  <cp:lastModifiedBy>Joel Beck</cp:lastModifiedBy>
  <cp:lastPrinted>2020-01-22T17:59:07Z</cp:lastPrinted>
  <dcterms:created xsi:type="dcterms:W3CDTF">1996-07-29T09:18:37Z</dcterms:created>
  <dcterms:modified xsi:type="dcterms:W3CDTF">2020-03-18T14:25:59Z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lanSwiftJobName">
    <vt:lpwstr/>
  </property>
  <property fmtid="{D5CDD505-2E9C-101B-9397-08002B2CF9AE}" pid="3" name="PlanSwiftJobGuid">
    <vt:lpwstr/>
  </property>
  <property fmtid="{D5CDD505-2E9C-101B-9397-08002B2CF9AE}" pid="4" name="LinkedDataId">
    <vt:lpwstr>{EF54C951-69EB-4EC4-8FA2-09403A05FCAD}</vt:lpwstr>
  </property>
</Properties>
</file>